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wmf" ContentType="image/x-wmf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Default Extension="jpeg" ContentType="image/jpeg"/>
  <Override PartName="/xl/embeddings/oleObject3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5025" yWindow="-375" windowWidth="15480" windowHeight="9795" tabRatio="593"/>
  </bookViews>
  <sheets>
    <sheet name="listado socios" sheetId="15" r:id="rId1"/>
    <sheet name="FLUJO FONDO COOP" sheetId="53" r:id="rId2"/>
    <sheet name="FLUJO CENTRO ACOPIO" sheetId="67" r:id="rId3"/>
    <sheet name="FLUJO TOTAL" sheetId="66" r:id="rId4"/>
    <sheet name="flujo proyectado  centro 5 años" sheetId="54" r:id="rId5"/>
    <sheet name="E.Situación " sheetId="63" r:id="rId6"/>
    <sheet name="E.Situación  PROYECTADO" sheetId="64" r:id="rId7"/>
    <sheet name="AMORT." sheetId="48" r:id="rId8"/>
    <sheet name="EERR VAN Y TIR" sheetId="51" r:id="rId9"/>
    <sheet name="SUELDOS" sheetId="6" r:id="rId10"/>
    <sheet name="RESUMEN" sheetId="60" r:id="rId11"/>
    <sheet name="PRESUPUESTO CONSTR" sheetId="38" r:id="rId12"/>
    <sheet name="EQ COMPUTO" sheetId="3" r:id="rId13"/>
    <sheet name="EQ. OFIC" sheetId="4" r:id="rId14"/>
    <sheet name="MUEB. Y ENSER" sheetId="5" r:id="rId15"/>
    <sheet name="MAQ Y EQ" sheetId="7" r:id="rId16"/>
    <sheet name="DEMANDA ACTUAL" sheetId="9" state="hidden" r:id="rId17"/>
    <sheet name="PROYECCION DEMANDA" sheetId="10" r:id="rId18"/>
    <sheet name="ANEXO B.N.F." sheetId="14" r:id="rId19"/>
    <sheet name="SIMBOLOGIA" sheetId="34" state="hidden" r:id="rId20"/>
    <sheet name="FLUJO AGRICULTOR" sheetId="39" state="hidden" r:id="rId21"/>
    <sheet name="flujo agricultor 1" sheetId="41" state="hidden" r:id="rId22"/>
    <sheet name="COSTOS DE PRODUCCION" sheetId="55" r:id="rId23"/>
    <sheet name="FLUJO INDIVIDUAL AGRICULTOR" sheetId="45" r:id="rId24"/>
    <sheet name="PRECIOS QUINTALES" sheetId="40" r:id="rId25"/>
    <sheet name="balance" sheetId="46" state="hidden" r:id="rId26"/>
    <sheet name="depreciación" sheetId="2" r:id="rId27"/>
    <sheet name="COSTO CAPITAL" sheetId="52" r:id="rId28"/>
    <sheet name="anexo" sheetId="57" state="hidden" r:id="rId29"/>
    <sheet name="CARACTERIUZ. PRODUCTO" sheetId="58" r:id="rId30"/>
    <sheet name="TAB AMORT. PRUEB" sheetId="59" state="hidden" r:id="rId31"/>
    <sheet name="FLUJO COOP (2)" sheetId="61" state="hidden" r:id="rId32"/>
    <sheet name="Hoja2" sheetId="62" state="hidden" r:id="rId33"/>
    <sheet name="Hoja1" sheetId="65" state="hidden" r:id="rId34"/>
  </sheets>
  <externalReferences>
    <externalReference r:id="rId35"/>
    <externalReference r:id="rId36"/>
  </externalReferences>
  <definedNames>
    <definedName name="_xlnm._FilterDatabase" localSheetId="30" hidden="1">'TAB AMORT. PRUEB'!$A$7:$E$154</definedName>
    <definedName name="ALMACENAMIENTO1" localSheetId="29">'CARACTERIUZ. PRODUCTO'!$D$14</definedName>
    <definedName name="COSECHA1" localSheetId="29">'CARACTERIUZ. PRODUCTO'!$D$8</definedName>
  </definedNames>
  <calcPr calcId="124519"/>
</workbook>
</file>

<file path=xl/calcChain.xml><?xml version="1.0" encoding="utf-8"?>
<calcChain xmlns="http://schemas.openxmlformats.org/spreadsheetml/2006/main">
  <c r="E239" i="15"/>
  <c r="G9" i="64"/>
  <c r="F8"/>
  <c r="E8"/>
  <c r="E27"/>
  <c r="D27"/>
  <c r="C11" i="51"/>
  <c r="C12"/>
  <c r="B11" i="6"/>
  <c r="G21" i="64"/>
  <c r="F21"/>
  <c r="E21"/>
  <c r="F27"/>
  <c r="G27" s="1"/>
  <c r="D8"/>
  <c r="D20"/>
  <c r="D21"/>
  <c r="D10"/>
  <c r="C10"/>
  <c r="D15" i="51"/>
  <c r="E15"/>
  <c r="F15"/>
  <c r="G15"/>
  <c r="C15"/>
  <c r="F4" i="48"/>
  <c r="G3" i="67"/>
  <c r="C3" s="1"/>
  <c r="K22" s="1"/>
  <c r="S18"/>
  <c r="S17"/>
  <c r="S16"/>
  <c r="S15"/>
  <c r="R14"/>
  <c r="R19" s="1"/>
  <c r="D23"/>
  <c r="C23"/>
  <c r="O81"/>
  <c r="N81"/>
  <c r="M81"/>
  <c r="L81"/>
  <c r="K81"/>
  <c r="J81"/>
  <c r="I81"/>
  <c r="H81"/>
  <c r="G81"/>
  <c r="F81"/>
  <c r="E81"/>
  <c r="D81"/>
  <c r="C81"/>
  <c r="O75"/>
  <c r="O83" s="1"/>
  <c r="N75"/>
  <c r="N83" s="1"/>
  <c r="M75"/>
  <c r="M83" s="1"/>
  <c r="L75"/>
  <c r="L83" s="1"/>
  <c r="K75"/>
  <c r="K83" s="1"/>
  <c r="J75"/>
  <c r="J83" s="1"/>
  <c r="I75"/>
  <c r="I83" s="1"/>
  <c r="H75"/>
  <c r="H83" s="1"/>
  <c r="G75"/>
  <c r="G83" s="1"/>
  <c r="F75"/>
  <c r="F83" s="1"/>
  <c r="E75"/>
  <c r="E83" s="1"/>
  <c r="D75"/>
  <c r="D83" s="1"/>
  <c r="C75"/>
  <c r="C83" s="1"/>
  <c r="N59"/>
  <c r="N85" s="1"/>
  <c r="M59"/>
  <c r="M85" s="1"/>
  <c r="L59"/>
  <c r="L85" s="1"/>
  <c r="J59"/>
  <c r="I59"/>
  <c r="I85" s="1"/>
  <c r="H59"/>
  <c r="G59"/>
  <c r="G85" s="1"/>
  <c r="F59"/>
  <c r="D59"/>
  <c r="D85" s="1"/>
  <c r="C59"/>
  <c r="C85" s="1"/>
  <c r="C86" s="1"/>
  <c r="O58"/>
  <c r="O59" s="1"/>
  <c r="O85" s="1"/>
  <c r="K57"/>
  <c r="K59" s="1"/>
  <c r="K85" s="1"/>
  <c r="E57"/>
  <c r="E59" s="1"/>
  <c r="E85" s="1"/>
  <c r="N49"/>
  <c r="M49"/>
  <c r="K49"/>
  <c r="J49"/>
  <c r="I49"/>
  <c r="H49"/>
  <c r="G49"/>
  <c r="F49"/>
  <c r="E49"/>
  <c r="K38"/>
  <c r="F28"/>
  <c r="G27"/>
  <c r="G28" s="1"/>
  <c r="F27"/>
  <c r="O20"/>
  <c r="O19"/>
  <c r="D18"/>
  <c r="D24" s="1"/>
  <c r="D25" s="1"/>
  <c r="O16"/>
  <c r="S18" i="53"/>
  <c r="F176"/>
  <c r="L189"/>
  <c r="K189"/>
  <c r="F189"/>
  <c r="E189"/>
  <c r="C9" i="6"/>
  <c r="D9" s="1"/>
  <c r="E9" s="1"/>
  <c r="F9" s="1"/>
  <c r="B5"/>
  <c r="C6"/>
  <c r="D6" s="1"/>
  <c r="E6" s="1"/>
  <c r="F6" s="1"/>
  <c r="C5"/>
  <c r="D5" s="1"/>
  <c r="E5" s="1"/>
  <c r="F5" s="1"/>
  <c r="F7" s="1"/>
  <c r="D191" i="53"/>
  <c r="O190"/>
  <c r="C189"/>
  <c r="C191" s="1"/>
  <c r="N187"/>
  <c r="M187"/>
  <c r="L187"/>
  <c r="K187"/>
  <c r="J187"/>
  <c r="I187"/>
  <c r="H187"/>
  <c r="G187"/>
  <c r="F187"/>
  <c r="E187"/>
  <c r="C187"/>
  <c r="O187" s="1"/>
  <c r="N186"/>
  <c r="M186"/>
  <c r="L186"/>
  <c r="K186"/>
  <c r="J186"/>
  <c r="I186"/>
  <c r="H186"/>
  <c r="G186"/>
  <c r="F186"/>
  <c r="E186"/>
  <c r="C186"/>
  <c r="O186" s="1"/>
  <c r="Q185"/>
  <c r="Q186" s="1"/>
  <c r="O185"/>
  <c r="O184"/>
  <c r="O183"/>
  <c r="N181"/>
  <c r="M181"/>
  <c r="L181"/>
  <c r="K181"/>
  <c r="J181"/>
  <c r="I181"/>
  <c r="H181"/>
  <c r="G181"/>
  <c r="F181"/>
  <c r="E181"/>
  <c r="D181"/>
  <c r="D182" s="1"/>
  <c r="D192" s="1"/>
  <c r="D193" s="1"/>
  <c r="C181"/>
  <c r="O181" s="1"/>
  <c r="E180"/>
  <c r="O180" s="1"/>
  <c r="N179"/>
  <c r="M179"/>
  <c r="L179"/>
  <c r="K179"/>
  <c r="J179"/>
  <c r="I179"/>
  <c r="H179"/>
  <c r="G179"/>
  <c r="F179"/>
  <c r="E179"/>
  <c r="O179" s="1"/>
  <c r="P179" s="1"/>
  <c r="O178"/>
  <c r="O177"/>
  <c r="N176"/>
  <c r="N182" s="1"/>
  <c r="M176"/>
  <c r="M182" s="1"/>
  <c r="L176"/>
  <c r="L182" s="1"/>
  <c r="K176"/>
  <c r="K182" s="1"/>
  <c r="J176"/>
  <c r="J182" s="1"/>
  <c r="I176"/>
  <c r="I182" s="1"/>
  <c r="H176"/>
  <c r="H182" s="1"/>
  <c r="G176"/>
  <c r="G182" s="1"/>
  <c r="S175"/>
  <c r="S174"/>
  <c r="O174"/>
  <c r="S173"/>
  <c r="R172"/>
  <c r="R176" s="1"/>
  <c r="F37"/>
  <c r="G37"/>
  <c r="F38"/>
  <c r="G38"/>
  <c r="K48"/>
  <c r="E59"/>
  <c r="F59"/>
  <c r="G59"/>
  <c r="H59"/>
  <c r="I59"/>
  <c r="J59"/>
  <c r="K59"/>
  <c r="M59"/>
  <c r="N59"/>
  <c r="E67"/>
  <c r="K67"/>
  <c r="O68"/>
  <c r="C69"/>
  <c r="D69"/>
  <c r="E69"/>
  <c r="F69"/>
  <c r="G69"/>
  <c r="H69"/>
  <c r="I69"/>
  <c r="J69"/>
  <c r="K69"/>
  <c r="L69"/>
  <c r="M69"/>
  <c r="N69"/>
  <c r="O69"/>
  <c r="C85"/>
  <c r="D85"/>
  <c r="E85"/>
  <c r="F85"/>
  <c r="G85"/>
  <c r="H85"/>
  <c r="I85"/>
  <c r="J85"/>
  <c r="K85"/>
  <c r="L85"/>
  <c r="M85"/>
  <c r="N85"/>
  <c r="O85"/>
  <c r="C91"/>
  <c r="D91"/>
  <c r="E91"/>
  <c r="F91"/>
  <c r="G91"/>
  <c r="H91"/>
  <c r="I91"/>
  <c r="J91"/>
  <c r="K91"/>
  <c r="L91"/>
  <c r="M91"/>
  <c r="N91"/>
  <c r="O91"/>
  <c r="C93"/>
  <c r="D93"/>
  <c r="E93"/>
  <c r="F93"/>
  <c r="G93"/>
  <c r="H93"/>
  <c r="I93"/>
  <c r="J93"/>
  <c r="K93"/>
  <c r="L93"/>
  <c r="M93"/>
  <c r="N93"/>
  <c r="O93"/>
  <c r="C95"/>
  <c r="D95"/>
  <c r="E95"/>
  <c r="F95"/>
  <c r="G95"/>
  <c r="H95"/>
  <c r="I95"/>
  <c r="J95"/>
  <c r="K95"/>
  <c r="L95"/>
  <c r="M95"/>
  <c r="N95"/>
  <c r="O95"/>
  <c r="C96"/>
  <c r="D96"/>
  <c r="E96" s="1"/>
  <c r="F96" s="1"/>
  <c r="G96" s="1"/>
  <c r="H96" s="1"/>
  <c r="I96" s="1"/>
  <c r="J96" s="1"/>
  <c r="K96" s="1"/>
  <c r="L96" s="1"/>
  <c r="M96" s="1"/>
  <c r="N96" s="1"/>
  <c r="O96" s="1"/>
  <c r="G5"/>
  <c r="G3"/>
  <c r="G4"/>
  <c r="G2"/>
  <c r="E31" s="1"/>
  <c r="K23" s="1"/>
  <c r="K31"/>
  <c r="F31"/>
  <c r="L23" s="1"/>
  <c r="F21"/>
  <c r="N21"/>
  <c r="D7"/>
  <c r="D6"/>
  <c r="D5"/>
  <c r="O80" i="66"/>
  <c r="N80"/>
  <c r="M80"/>
  <c r="L80"/>
  <c r="K80"/>
  <c r="K20" s="1"/>
  <c r="M7" s="1"/>
  <c r="M13" s="1"/>
  <c r="J80"/>
  <c r="I80"/>
  <c r="H80"/>
  <c r="G80"/>
  <c r="F80"/>
  <c r="E80"/>
  <c r="E20" s="1"/>
  <c r="D80"/>
  <c r="C80"/>
  <c r="O74"/>
  <c r="N74"/>
  <c r="N82" s="1"/>
  <c r="M74"/>
  <c r="L74"/>
  <c r="L82" s="1"/>
  <c r="K74"/>
  <c r="J74"/>
  <c r="J82" s="1"/>
  <c r="I74"/>
  <c r="H74"/>
  <c r="H82" s="1"/>
  <c r="G74"/>
  <c r="F74"/>
  <c r="F82" s="1"/>
  <c r="E74"/>
  <c r="D74"/>
  <c r="D82" s="1"/>
  <c r="C74"/>
  <c r="N58"/>
  <c r="N84" s="1"/>
  <c r="M58"/>
  <c r="L58"/>
  <c r="L84" s="1"/>
  <c r="J58"/>
  <c r="I58"/>
  <c r="H58"/>
  <c r="G58"/>
  <c r="F58"/>
  <c r="D58"/>
  <c r="D84" s="1"/>
  <c r="C58"/>
  <c r="O57"/>
  <c r="O58" s="1"/>
  <c r="K56"/>
  <c r="K58" s="1"/>
  <c r="E56"/>
  <c r="E58" s="1"/>
  <c r="N48"/>
  <c r="M48"/>
  <c r="K48"/>
  <c r="J48"/>
  <c r="I48"/>
  <c r="H48"/>
  <c r="G48"/>
  <c r="F48"/>
  <c r="E48"/>
  <c r="K37"/>
  <c r="F27"/>
  <c r="G26"/>
  <c r="G27" s="1"/>
  <c r="F26"/>
  <c r="D22"/>
  <c r="O21"/>
  <c r="L20"/>
  <c r="N7" s="1"/>
  <c r="N13" s="1"/>
  <c r="F20"/>
  <c r="D28" s="1"/>
  <c r="C20"/>
  <c r="C22" s="1"/>
  <c r="C18"/>
  <c r="N17"/>
  <c r="L17"/>
  <c r="J17"/>
  <c r="H17"/>
  <c r="F17"/>
  <c r="C17"/>
  <c r="O16"/>
  <c r="O15"/>
  <c r="O14"/>
  <c r="N12"/>
  <c r="M12"/>
  <c r="K12"/>
  <c r="J12"/>
  <c r="I12"/>
  <c r="H12"/>
  <c r="G12"/>
  <c r="F12"/>
  <c r="E12"/>
  <c r="D12"/>
  <c r="D13" s="1"/>
  <c r="D23" s="1"/>
  <c r="D24" s="1"/>
  <c r="C12"/>
  <c r="C13" s="1"/>
  <c r="O11"/>
  <c r="N10"/>
  <c r="M10"/>
  <c r="L10"/>
  <c r="K10"/>
  <c r="J10"/>
  <c r="I10"/>
  <c r="H10"/>
  <c r="G10"/>
  <c r="F10"/>
  <c r="E10"/>
  <c r="O10" s="1"/>
  <c r="K9"/>
  <c r="O8"/>
  <c r="F7"/>
  <c r="F13" s="1"/>
  <c r="O6"/>
  <c r="O5"/>
  <c r="D239" i="15"/>
  <c r="C27" i="64"/>
  <c r="B22"/>
  <c r="B21"/>
  <c r="B20"/>
  <c r="B17"/>
  <c r="B16"/>
  <c r="B15"/>
  <c r="B14"/>
  <c r="B13"/>
  <c r="B12"/>
  <c r="C35" i="63"/>
  <c r="B28"/>
  <c r="B27"/>
  <c r="B26"/>
  <c r="B14"/>
  <c r="B15"/>
  <c r="B16"/>
  <c r="B17"/>
  <c r="B18"/>
  <c r="B13"/>
  <c r="C48" i="46"/>
  <c r="C47"/>
  <c r="C46"/>
  <c r="C45"/>
  <c r="C44"/>
  <c r="C43"/>
  <c r="C36"/>
  <c r="C35"/>
  <c r="K8"/>
  <c r="D42" l="1"/>
  <c r="G8" i="64"/>
  <c r="E10"/>
  <c r="F10" s="1"/>
  <c r="G10" s="1"/>
  <c r="L12" i="66"/>
  <c r="F84"/>
  <c r="H84"/>
  <c r="J84"/>
  <c r="C82"/>
  <c r="C84" s="1"/>
  <c r="C85" s="1"/>
  <c r="D85" s="1"/>
  <c r="E85" s="1"/>
  <c r="F85" s="1"/>
  <c r="E82"/>
  <c r="E84" s="1"/>
  <c r="G82"/>
  <c r="G84" s="1"/>
  <c r="I82"/>
  <c r="I84" s="1"/>
  <c r="K82"/>
  <c r="K84" s="1"/>
  <c r="M82"/>
  <c r="M84" s="1"/>
  <c r="O82"/>
  <c r="O84" s="1"/>
  <c r="N18"/>
  <c r="C4" i="67"/>
  <c r="R20"/>
  <c r="S20" s="1"/>
  <c r="S19"/>
  <c r="S14"/>
  <c r="K17"/>
  <c r="D86"/>
  <c r="E86" s="1"/>
  <c r="F85"/>
  <c r="H85"/>
  <c r="J85"/>
  <c r="C18"/>
  <c r="C24" s="1"/>
  <c r="F8" i="6"/>
  <c r="D8"/>
  <c r="C8"/>
  <c r="E8"/>
  <c r="E7"/>
  <c r="D7"/>
  <c r="R177" i="53"/>
  <c r="S177" s="1"/>
  <c r="S176"/>
  <c r="O176"/>
  <c r="C182"/>
  <c r="E182"/>
  <c r="O189"/>
  <c r="S172"/>
  <c r="D39"/>
  <c r="F18"/>
  <c r="J18"/>
  <c r="H18"/>
  <c r="K18"/>
  <c r="G18"/>
  <c r="I18"/>
  <c r="L18"/>
  <c r="L31"/>
  <c r="N18" s="1"/>
  <c r="J21"/>
  <c r="L21"/>
  <c r="H21"/>
  <c r="E22"/>
  <c r="E21"/>
  <c r="M21"/>
  <c r="K21"/>
  <c r="I21"/>
  <c r="G21"/>
  <c r="C23" i="66"/>
  <c r="L43"/>
  <c r="L48" s="1"/>
  <c r="L7"/>
  <c r="L13" s="1"/>
  <c r="J7"/>
  <c r="J13" s="1"/>
  <c r="H7"/>
  <c r="H13" s="1"/>
  <c r="L37"/>
  <c r="K7"/>
  <c r="K13" s="1"/>
  <c r="I7"/>
  <c r="I13" s="1"/>
  <c r="G7"/>
  <c r="G13" s="1"/>
  <c r="O12"/>
  <c r="E18"/>
  <c r="G18"/>
  <c r="I18"/>
  <c r="K18"/>
  <c r="M18"/>
  <c r="E17"/>
  <c r="G17"/>
  <c r="I17"/>
  <c r="K17"/>
  <c r="M17"/>
  <c r="F18"/>
  <c r="H18"/>
  <c r="J18"/>
  <c r="L18"/>
  <c r="O20"/>
  <c r="D34" i="46"/>
  <c r="D50" s="1"/>
  <c r="G85" i="66" l="1"/>
  <c r="H85" s="1"/>
  <c r="I85" s="1"/>
  <c r="J85" s="1"/>
  <c r="K85" s="1"/>
  <c r="L85" s="1"/>
  <c r="M85" s="1"/>
  <c r="N85" s="1"/>
  <c r="O85" s="1"/>
  <c r="E17" i="67"/>
  <c r="E18" s="1"/>
  <c r="E22"/>
  <c r="O17"/>
  <c r="R21"/>
  <c r="S21" s="1"/>
  <c r="N18"/>
  <c r="M18"/>
  <c r="F86"/>
  <c r="G86" s="1"/>
  <c r="H86" s="1"/>
  <c r="I86" s="1"/>
  <c r="J86" s="1"/>
  <c r="K86" s="1"/>
  <c r="L86" s="1"/>
  <c r="M86" s="1"/>
  <c r="N86" s="1"/>
  <c r="O86" s="1"/>
  <c r="D29"/>
  <c r="L18"/>
  <c r="J18"/>
  <c r="H18"/>
  <c r="K18"/>
  <c r="I18"/>
  <c r="G18"/>
  <c r="C192" i="53"/>
  <c r="R178"/>
  <c r="S178" s="1"/>
  <c r="L54"/>
  <c r="L59" s="1"/>
  <c r="L48"/>
  <c r="M18"/>
  <c r="G28"/>
  <c r="I28"/>
  <c r="K28"/>
  <c r="M28"/>
  <c r="E28"/>
  <c r="F28"/>
  <c r="H28"/>
  <c r="J28"/>
  <c r="L28"/>
  <c r="N28"/>
  <c r="F29"/>
  <c r="H29"/>
  <c r="J29"/>
  <c r="L29"/>
  <c r="E29"/>
  <c r="N29"/>
  <c r="G29"/>
  <c r="I29"/>
  <c r="K29"/>
  <c r="M29"/>
  <c r="O18" i="66"/>
  <c r="O17"/>
  <c r="O7"/>
  <c r="S15" i="53"/>
  <c r="S16"/>
  <c r="S17"/>
  <c r="C10" i="6"/>
  <c r="D10"/>
  <c r="E10"/>
  <c r="F10"/>
  <c r="B10"/>
  <c r="H35" i="59"/>
  <c r="E4"/>
  <c r="E3"/>
  <c r="B18" i="62"/>
  <c r="A11"/>
  <c r="A12" s="1"/>
  <c r="A8"/>
  <c r="O78" i="61"/>
  <c r="N78"/>
  <c r="M78"/>
  <c r="L78"/>
  <c r="K78"/>
  <c r="J78"/>
  <c r="I78"/>
  <c r="H78"/>
  <c r="G78"/>
  <c r="F78"/>
  <c r="E78"/>
  <c r="D78"/>
  <c r="C78"/>
  <c r="O72"/>
  <c r="O80" s="1"/>
  <c r="N72"/>
  <c r="N80" s="1"/>
  <c r="M72"/>
  <c r="M80" s="1"/>
  <c r="L72"/>
  <c r="L80" s="1"/>
  <c r="K72"/>
  <c r="K80" s="1"/>
  <c r="J72"/>
  <c r="J80" s="1"/>
  <c r="I72"/>
  <c r="I80" s="1"/>
  <c r="H72"/>
  <c r="H80" s="1"/>
  <c r="G72"/>
  <c r="G80" s="1"/>
  <c r="F72"/>
  <c r="F80" s="1"/>
  <c r="E72"/>
  <c r="E80" s="1"/>
  <c r="D72"/>
  <c r="D80" s="1"/>
  <c r="C72"/>
  <c r="C80" s="1"/>
  <c r="N56"/>
  <c r="N82" s="1"/>
  <c r="M56"/>
  <c r="M82" s="1"/>
  <c r="L56"/>
  <c r="L82" s="1"/>
  <c r="J56"/>
  <c r="J82" s="1"/>
  <c r="I56"/>
  <c r="I82" s="1"/>
  <c r="H56"/>
  <c r="H82" s="1"/>
  <c r="G56"/>
  <c r="G82" s="1"/>
  <c r="F56"/>
  <c r="F82" s="1"/>
  <c r="D56"/>
  <c r="D82" s="1"/>
  <c r="C56"/>
  <c r="C82" s="1"/>
  <c r="C83" s="1"/>
  <c r="D83" s="1"/>
  <c r="O55"/>
  <c r="O56" s="1"/>
  <c r="O82" s="1"/>
  <c r="K54"/>
  <c r="K56" s="1"/>
  <c r="K82" s="1"/>
  <c r="E54"/>
  <c r="E56" s="1"/>
  <c r="E82" s="1"/>
  <c r="N46"/>
  <c r="M46"/>
  <c r="K46"/>
  <c r="J46"/>
  <c r="I46"/>
  <c r="H46"/>
  <c r="G46"/>
  <c r="F46"/>
  <c r="E46"/>
  <c r="K35"/>
  <c r="K11" s="1"/>
  <c r="F25"/>
  <c r="F24"/>
  <c r="E15" s="1"/>
  <c r="D20"/>
  <c r="O19"/>
  <c r="K18"/>
  <c r="E18"/>
  <c r="C18"/>
  <c r="C20" s="1"/>
  <c r="C16"/>
  <c r="N15"/>
  <c r="M15"/>
  <c r="L15"/>
  <c r="K15"/>
  <c r="J15"/>
  <c r="I15"/>
  <c r="H15"/>
  <c r="G15"/>
  <c r="F15"/>
  <c r="Q14"/>
  <c r="Q15" s="1"/>
  <c r="O14"/>
  <c r="O13"/>
  <c r="N11"/>
  <c r="M11"/>
  <c r="J11"/>
  <c r="I11"/>
  <c r="H11"/>
  <c r="G11"/>
  <c r="F11"/>
  <c r="E11"/>
  <c r="D11"/>
  <c r="D12" s="1"/>
  <c r="D21" s="1"/>
  <c r="D22" s="1"/>
  <c r="C11"/>
  <c r="C12" s="1"/>
  <c r="O10"/>
  <c r="N9"/>
  <c r="M9"/>
  <c r="L9"/>
  <c r="K9"/>
  <c r="J9"/>
  <c r="I9"/>
  <c r="H9"/>
  <c r="G9"/>
  <c r="F9"/>
  <c r="E9"/>
  <c r="N16" s="1"/>
  <c r="R8"/>
  <c r="S8" s="1"/>
  <c r="O7"/>
  <c r="F6"/>
  <c r="F12" s="1"/>
  <c r="O5"/>
  <c r="O4"/>
  <c r="J30" i="60"/>
  <c r="I27"/>
  <c r="I28" s="1"/>
  <c r="C14"/>
  <c r="C11"/>
  <c r="C10"/>
  <c r="J8"/>
  <c r="J9" s="1"/>
  <c r="C8"/>
  <c r="J7"/>
  <c r="J10" s="1"/>
  <c r="H7"/>
  <c r="C7"/>
  <c r="J6"/>
  <c r="D6"/>
  <c r="C6"/>
  <c r="L5"/>
  <c r="D5"/>
  <c r="C5"/>
  <c r="L4"/>
  <c r="D4"/>
  <c r="B16" s="1"/>
  <c r="C4"/>
  <c r="C3"/>
  <c r="C2"/>
  <c r="G21" i="67" l="1"/>
  <c r="G23" s="1"/>
  <c r="I21"/>
  <c r="I23" s="1"/>
  <c r="K21"/>
  <c r="K23" s="1"/>
  <c r="M21"/>
  <c r="M23" s="1"/>
  <c r="E21"/>
  <c r="F21"/>
  <c r="F23" s="1"/>
  <c r="H21"/>
  <c r="H23" s="1"/>
  <c r="J21"/>
  <c r="J23" s="1"/>
  <c r="L21"/>
  <c r="L23" s="1"/>
  <c r="N21"/>
  <c r="N23" s="1"/>
  <c r="E23"/>
  <c r="O22"/>
  <c r="O23" s="1"/>
  <c r="F18"/>
  <c r="L38"/>
  <c r="L44"/>
  <c r="L49" s="1"/>
  <c r="N24"/>
  <c r="J24"/>
  <c r="K24"/>
  <c r="I24"/>
  <c r="G24"/>
  <c r="H24"/>
  <c r="L24"/>
  <c r="M24"/>
  <c r="E83" i="61"/>
  <c r="F83" s="1"/>
  <c r="G83" s="1"/>
  <c r="H83" s="1"/>
  <c r="I83" s="1"/>
  <c r="J83" s="1"/>
  <c r="K83" s="1"/>
  <c r="L83" s="1"/>
  <c r="M83" s="1"/>
  <c r="N83" s="1"/>
  <c r="O83" s="1"/>
  <c r="M17"/>
  <c r="K17"/>
  <c r="I17"/>
  <c r="G17"/>
  <c r="E17"/>
  <c r="N17"/>
  <c r="N20" s="1"/>
  <c r="L17"/>
  <c r="J17"/>
  <c r="H17"/>
  <c r="F17"/>
  <c r="E16"/>
  <c r="G16"/>
  <c r="G20" s="1"/>
  <c r="I16"/>
  <c r="I20" s="1"/>
  <c r="K16"/>
  <c r="K20" s="1"/>
  <c r="M16"/>
  <c r="M20" s="1"/>
  <c r="F18"/>
  <c r="L18"/>
  <c r="C21"/>
  <c r="O9"/>
  <c r="P9" s="1"/>
  <c r="O15"/>
  <c r="F16"/>
  <c r="H16"/>
  <c r="H20" s="1"/>
  <c r="J16"/>
  <c r="L16"/>
  <c r="L20" s="1"/>
  <c r="I32" i="60"/>
  <c r="I30"/>
  <c r="D8"/>
  <c r="D9"/>
  <c r="O21" i="67" l="1"/>
  <c r="F24"/>
  <c r="O18"/>
  <c r="E24"/>
  <c r="J20" i="61"/>
  <c r="F20"/>
  <c r="F21" s="1"/>
  <c r="O16"/>
  <c r="O18"/>
  <c r="M6"/>
  <c r="M12" s="1"/>
  <c r="M21" s="1"/>
  <c r="N6"/>
  <c r="N12" s="1"/>
  <c r="N21" s="1"/>
  <c r="E20"/>
  <c r="O17"/>
  <c r="L11"/>
  <c r="O11" s="1"/>
  <c r="D26"/>
  <c r="O20"/>
  <c r="D12" i="60"/>
  <c r="D13" s="1"/>
  <c r="E25" i="67" l="1"/>
  <c r="E9" i="66"/>
  <c r="O24" i="67"/>
  <c r="F25"/>
  <c r="G25" s="1"/>
  <c r="H25" s="1"/>
  <c r="I25" s="1"/>
  <c r="J25" s="1"/>
  <c r="K25" s="1"/>
  <c r="L25" s="1"/>
  <c r="M25" s="1"/>
  <c r="N25" s="1"/>
  <c r="L41" i="61"/>
  <c r="L46" s="1"/>
  <c r="L35"/>
  <c r="K6"/>
  <c r="I6"/>
  <c r="I12" s="1"/>
  <c r="I21" s="1"/>
  <c r="G6"/>
  <c r="L6"/>
  <c r="L12" s="1"/>
  <c r="L21" s="1"/>
  <c r="J6"/>
  <c r="J12" s="1"/>
  <c r="J21" s="1"/>
  <c r="H6"/>
  <c r="H12" s="1"/>
  <c r="H21" s="1"/>
  <c r="H16" i="5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O9" i="66" l="1"/>
  <c r="C10" i="51" s="1"/>
  <c r="E13" i="66"/>
  <c r="O13" s="1"/>
  <c r="G12" i="61"/>
  <c r="O6"/>
  <c r="B152" i="59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9"/>
  <c r="B10"/>
  <c r="B11"/>
  <c r="B12"/>
  <c r="B13"/>
  <c r="B14"/>
  <c r="B15"/>
  <c r="B17"/>
  <c r="H18"/>
  <c r="B19"/>
  <c r="B24"/>
  <c r="B26"/>
  <c r="B28"/>
  <c r="E8"/>
  <c r="B16"/>
  <c r="B18"/>
  <c r="B20"/>
  <c r="B21"/>
  <c r="B22"/>
  <c r="B23"/>
  <c r="B25"/>
  <c r="B27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G21" i="61" l="1"/>
  <c r="D9" i="59"/>
  <c r="C9" l="1"/>
  <c r="F9" s="1"/>
  <c r="H15" s="1"/>
  <c r="H17" s="1"/>
  <c r="H19" s="1"/>
  <c r="E9" l="1"/>
  <c r="D10" s="1"/>
  <c r="C10" l="1"/>
  <c r="F10" l="1"/>
  <c r="E10"/>
  <c r="D11" l="1"/>
  <c r="C11" l="1"/>
  <c r="F11" l="1"/>
  <c r="E11"/>
  <c r="D12" l="1"/>
  <c r="C12" l="1"/>
  <c r="F12" l="1"/>
  <c r="E12"/>
  <c r="D13" l="1"/>
  <c r="C13" l="1"/>
  <c r="F13" l="1"/>
  <c r="E13"/>
  <c r="D14" l="1"/>
  <c r="C14" s="1"/>
  <c r="F14" s="1"/>
  <c r="E14" l="1"/>
  <c r="D15" l="1"/>
  <c r="C15" s="1"/>
  <c r="F15" s="1"/>
  <c r="E15" l="1"/>
  <c r="D16" l="1"/>
  <c r="C16" s="1"/>
  <c r="F16" s="1"/>
  <c r="E16" l="1"/>
  <c r="D17" l="1"/>
  <c r="C17" s="1"/>
  <c r="F17" s="1"/>
  <c r="E17" l="1"/>
  <c r="D18" l="1"/>
  <c r="C18" s="1"/>
  <c r="F18" s="1"/>
  <c r="E18" l="1"/>
  <c r="D19" l="1"/>
  <c r="C19" s="1"/>
  <c r="F19" s="1"/>
  <c r="E19" l="1"/>
  <c r="D20" l="1"/>
  <c r="C20" l="1"/>
  <c r="H23"/>
  <c r="F20" l="1"/>
  <c r="E20"/>
  <c r="D21" l="1"/>
  <c r="C21" l="1"/>
  <c r="F21" l="1"/>
  <c r="E21"/>
  <c r="D22" l="1"/>
  <c r="C22" l="1"/>
  <c r="F22" l="1"/>
  <c r="E22"/>
  <c r="D23" l="1"/>
  <c r="C23" l="1"/>
  <c r="F23" l="1"/>
  <c r="E23"/>
  <c r="D24" l="1"/>
  <c r="C24" l="1"/>
  <c r="F24" l="1"/>
  <c r="E24"/>
  <c r="D25" l="1"/>
  <c r="C25" l="1"/>
  <c r="F25" l="1"/>
  <c r="E25"/>
  <c r="D26" l="1"/>
  <c r="C26" s="1"/>
  <c r="F26" s="1"/>
  <c r="E26" l="1"/>
  <c r="D27" l="1"/>
  <c r="C27" s="1"/>
  <c r="F27" s="1"/>
  <c r="E27" l="1"/>
  <c r="D28" l="1"/>
  <c r="C28" s="1"/>
  <c r="F28" s="1"/>
  <c r="E28" l="1"/>
  <c r="D29" l="1"/>
  <c r="C29" s="1"/>
  <c r="F29" s="1"/>
  <c r="E29" l="1"/>
  <c r="D30" l="1"/>
  <c r="C30" s="1"/>
  <c r="F30" s="1"/>
  <c r="E30" l="1"/>
  <c r="D31" l="1"/>
  <c r="C31" s="1"/>
  <c r="F31" s="1"/>
  <c r="E31" l="1"/>
  <c r="D32" l="1"/>
  <c r="C32" l="1"/>
  <c r="H24"/>
  <c r="F32" l="1"/>
  <c r="E32"/>
  <c r="D33" l="1"/>
  <c r="C33" l="1"/>
  <c r="F33" l="1"/>
  <c r="E33"/>
  <c r="D34" l="1"/>
  <c r="C34" l="1"/>
  <c r="F34" l="1"/>
  <c r="E34"/>
  <c r="D35" l="1"/>
  <c r="C35" l="1"/>
  <c r="F35" l="1"/>
  <c r="E35"/>
  <c r="D36" l="1"/>
  <c r="C36" l="1"/>
  <c r="F36" l="1"/>
  <c r="E36"/>
  <c r="D37" l="1"/>
  <c r="C37" l="1"/>
  <c r="F37" l="1"/>
  <c r="E37"/>
  <c r="D38" l="1"/>
  <c r="C38" s="1"/>
  <c r="F38" s="1"/>
  <c r="E38" l="1"/>
  <c r="D39" l="1"/>
  <c r="C39" s="1"/>
  <c r="F39" s="1"/>
  <c r="E39" l="1"/>
  <c r="D40" l="1"/>
  <c r="C40" s="1"/>
  <c r="F40" s="1"/>
  <c r="E40" l="1"/>
  <c r="D41" l="1"/>
  <c r="C41" s="1"/>
  <c r="F41" s="1"/>
  <c r="E41" l="1"/>
  <c r="D42" s="1"/>
  <c r="C42" s="1"/>
  <c r="F42" s="1"/>
  <c r="E42" l="1"/>
  <c r="D43" l="1"/>
  <c r="C43" s="1"/>
  <c r="F43" s="1"/>
  <c r="E43" l="1"/>
  <c r="D44" l="1"/>
  <c r="C44" l="1"/>
  <c r="H25"/>
  <c r="F44" l="1"/>
  <c r="E44"/>
  <c r="D45" l="1"/>
  <c r="C45" l="1"/>
  <c r="F45" l="1"/>
  <c r="E45"/>
  <c r="D46" l="1"/>
  <c r="C46" l="1"/>
  <c r="F46" l="1"/>
  <c r="E46"/>
  <c r="D47" l="1"/>
  <c r="C47" l="1"/>
  <c r="F47" l="1"/>
  <c r="E47"/>
  <c r="D48" l="1"/>
  <c r="C48" l="1"/>
  <c r="F48" l="1"/>
  <c r="E48"/>
  <c r="D49" l="1"/>
  <c r="C49" l="1"/>
  <c r="F49" l="1"/>
  <c r="E49"/>
  <c r="D50" l="1"/>
  <c r="C50" s="1"/>
  <c r="F50" s="1"/>
  <c r="E50" l="1"/>
  <c r="D51" l="1"/>
  <c r="C51" s="1"/>
  <c r="F51" s="1"/>
  <c r="E51" l="1"/>
  <c r="D52" l="1"/>
  <c r="C52" s="1"/>
  <c r="F52" s="1"/>
  <c r="E52" l="1"/>
  <c r="D53" l="1"/>
  <c r="C53" s="1"/>
  <c r="F53" s="1"/>
  <c r="E53" l="1"/>
  <c r="D54" l="1"/>
  <c r="C54" s="1"/>
  <c r="F54" s="1"/>
  <c r="E54" l="1"/>
  <c r="D55" l="1"/>
  <c r="C55" s="1"/>
  <c r="F55" s="1"/>
  <c r="E55" l="1"/>
  <c r="D56" l="1"/>
  <c r="C56" l="1"/>
  <c r="H26"/>
  <c r="F56" l="1"/>
  <c r="E56"/>
  <c r="D57" l="1"/>
  <c r="C57" l="1"/>
  <c r="F57" l="1"/>
  <c r="E57"/>
  <c r="D58" l="1"/>
  <c r="C58" l="1"/>
  <c r="F58" l="1"/>
  <c r="E58"/>
  <c r="D59" l="1"/>
  <c r="C59" l="1"/>
  <c r="F59" l="1"/>
  <c r="E59"/>
  <c r="D60" l="1"/>
  <c r="C60" l="1"/>
  <c r="F60" l="1"/>
  <c r="E60"/>
  <c r="D61" l="1"/>
  <c r="C61" l="1"/>
  <c r="F61" l="1"/>
  <c r="E61"/>
  <c r="D62" l="1"/>
  <c r="C62" s="1"/>
  <c r="F62" s="1"/>
  <c r="E62" l="1"/>
  <c r="D63" l="1"/>
  <c r="C63" s="1"/>
  <c r="F63" s="1"/>
  <c r="E63" l="1"/>
  <c r="D64" l="1"/>
  <c r="C64" s="1"/>
  <c r="F64" s="1"/>
  <c r="E64" l="1"/>
  <c r="D65" l="1"/>
  <c r="C65" s="1"/>
  <c r="F65" s="1"/>
  <c r="E65" l="1"/>
  <c r="D66" l="1"/>
  <c r="C66" s="1"/>
  <c r="F66" s="1"/>
  <c r="E66" l="1"/>
  <c r="D67" l="1"/>
  <c r="C67" s="1"/>
  <c r="F67" s="1"/>
  <c r="E67" l="1"/>
  <c r="D68" l="1"/>
  <c r="C68" l="1"/>
  <c r="H27"/>
  <c r="H28" s="1"/>
  <c r="F68" l="1"/>
  <c r="E68"/>
  <c r="D69" l="1"/>
  <c r="C69" s="1"/>
  <c r="F69" s="1"/>
  <c r="E69" l="1"/>
  <c r="D70" l="1"/>
  <c r="C70" s="1"/>
  <c r="F70" s="1"/>
  <c r="E70" l="1"/>
  <c r="D71" l="1"/>
  <c r="C71" s="1"/>
  <c r="F71" s="1"/>
  <c r="E71" l="1"/>
  <c r="D72" l="1"/>
  <c r="C72" s="1"/>
  <c r="F72" s="1"/>
  <c r="E72" l="1"/>
  <c r="D73" l="1"/>
  <c r="C73" s="1"/>
  <c r="F73" s="1"/>
  <c r="E73" l="1"/>
  <c r="D74" l="1"/>
  <c r="C74" s="1"/>
  <c r="F74" s="1"/>
  <c r="E74" l="1"/>
  <c r="D75" l="1"/>
  <c r="C75" s="1"/>
  <c r="F75" s="1"/>
  <c r="E75" l="1"/>
  <c r="D76" l="1"/>
  <c r="C76" s="1"/>
  <c r="F76" s="1"/>
  <c r="E76" l="1"/>
  <c r="D77" l="1"/>
  <c r="C77" s="1"/>
  <c r="F77" s="1"/>
  <c r="E77" l="1"/>
  <c r="D78" l="1"/>
  <c r="C78" s="1"/>
  <c r="F78" s="1"/>
  <c r="E78" l="1"/>
  <c r="D79" l="1"/>
  <c r="C79" s="1"/>
  <c r="F79" s="1"/>
  <c r="E79" l="1"/>
  <c r="D80" l="1"/>
  <c r="C80" s="1"/>
  <c r="F80" s="1"/>
  <c r="E80" l="1"/>
  <c r="D81" l="1"/>
  <c r="C81" s="1"/>
  <c r="F81" s="1"/>
  <c r="E81" l="1"/>
  <c r="D82" l="1"/>
  <c r="C82" s="1"/>
  <c r="F82" s="1"/>
  <c r="E82" l="1"/>
  <c r="D83" l="1"/>
  <c r="C83" s="1"/>
  <c r="F83" s="1"/>
  <c r="E83" l="1"/>
  <c r="D84" l="1"/>
  <c r="C84" s="1"/>
  <c r="F84" s="1"/>
  <c r="E84" l="1"/>
  <c r="D85" l="1"/>
  <c r="C85" s="1"/>
  <c r="F85" s="1"/>
  <c r="E85" l="1"/>
  <c r="D86" l="1"/>
  <c r="C86" s="1"/>
  <c r="F86" s="1"/>
  <c r="E86" l="1"/>
  <c r="D87" l="1"/>
  <c r="C87" s="1"/>
  <c r="F87" s="1"/>
  <c r="E87" l="1"/>
  <c r="D88" l="1"/>
  <c r="C88" s="1"/>
  <c r="F88" s="1"/>
  <c r="E88" l="1"/>
  <c r="D89" l="1"/>
  <c r="C89" s="1"/>
  <c r="F89" s="1"/>
  <c r="E89" l="1"/>
  <c r="D90" l="1"/>
  <c r="C90" s="1"/>
  <c r="F90" s="1"/>
  <c r="E90" l="1"/>
  <c r="D91" l="1"/>
  <c r="C91" s="1"/>
  <c r="F91" s="1"/>
  <c r="E91" l="1"/>
  <c r="D92" l="1"/>
  <c r="C92" s="1"/>
  <c r="F92" s="1"/>
  <c r="E92" l="1"/>
  <c r="D93" l="1"/>
  <c r="C93" s="1"/>
  <c r="F93" s="1"/>
  <c r="E93" l="1"/>
  <c r="D94" l="1"/>
  <c r="C94" s="1"/>
  <c r="F94" s="1"/>
  <c r="E94" l="1"/>
  <c r="D95" l="1"/>
  <c r="C95" s="1"/>
  <c r="F95" s="1"/>
  <c r="E95" l="1"/>
  <c r="D96" l="1"/>
  <c r="C96" s="1"/>
  <c r="F96" s="1"/>
  <c r="E96" l="1"/>
  <c r="D97" l="1"/>
  <c r="C97" s="1"/>
  <c r="F97" s="1"/>
  <c r="E97" l="1"/>
  <c r="D98" l="1"/>
  <c r="C98" s="1"/>
  <c r="F98" s="1"/>
  <c r="E98" l="1"/>
  <c r="D99" l="1"/>
  <c r="C99" s="1"/>
  <c r="F99" s="1"/>
  <c r="E99" l="1"/>
  <c r="D100" l="1"/>
  <c r="C100" s="1"/>
  <c r="F100" s="1"/>
  <c r="E100" l="1"/>
  <c r="D101" l="1"/>
  <c r="C101" s="1"/>
  <c r="F101" s="1"/>
  <c r="E101" l="1"/>
  <c r="D102" l="1"/>
  <c r="C102" s="1"/>
  <c r="F102" s="1"/>
  <c r="E102" l="1"/>
  <c r="D103" l="1"/>
  <c r="C103" s="1"/>
  <c r="F103" s="1"/>
  <c r="E103" l="1"/>
  <c r="D104" l="1"/>
  <c r="C104" s="1"/>
  <c r="F104" s="1"/>
  <c r="E104" l="1"/>
  <c r="D105" l="1"/>
  <c r="C105" s="1"/>
  <c r="F105" s="1"/>
  <c r="E105" l="1"/>
  <c r="D106" l="1"/>
  <c r="C106" s="1"/>
  <c r="F106" s="1"/>
  <c r="E106" l="1"/>
  <c r="D107" l="1"/>
  <c r="C107" s="1"/>
  <c r="F107" s="1"/>
  <c r="E107" l="1"/>
  <c r="D108" l="1"/>
  <c r="C108" s="1"/>
  <c r="F108" s="1"/>
  <c r="E108" l="1"/>
  <c r="D109" l="1"/>
  <c r="C109" s="1"/>
  <c r="F109" s="1"/>
  <c r="E109" l="1"/>
  <c r="D110" l="1"/>
  <c r="C110" s="1"/>
  <c r="F110" s="1"/>
  <c r="E110" l="1"/>
  <c r="D111" l="1"/>
  <c r="C111" s="1"/>
  <c r="F111" s="1"/>
  <c r="E111" l="1"/>
  <c r="D112" l="1"/>
  <c r="C112" s="1"/>
  <c r="F112" s="1"/>
  <c r="E112" l="1"/>
  <c r="D113" l="1"/>
  <c r="C113" s="1"/>
  <c r="F113" s="1"/>
  <c r="E113" l="1"/>
  <c r="D114" l="1"/>
  <c r="C114" s="1"/>
  <c r="F114" s="1"/>
  <c r="E114" l="1"/>
  <c r="D115" l="1"/>
  <c r="C115" s="1"/>
  <c r="F115" s="1"/>
  <c r="E115" l="1"/>
  <c r="D116" l="1"/>
  <c r="C116" s="1"/>
  <c r="F116" s="1"/>
  <c r="E116" l="1"/>
  <c r="D117" l="1"/>
  <c r="C117" s="1"/>
  <c r="F117" s="1"/>
  <c r="E117" l="1"/>
  <c r="D118" l="1"/>
  <c r="C118" s="1"/>
  <c r="F118" s="1"/>
  <c r="E118" l="1"/>
  <c r="D119" l="1"/>
  <c r="C119" s="1"/>
  <c r="F119" s="1"/>
  <c r="E119" l="1"/>
  <c r="D120" l="1"/>
  <c r="C120" s="1"/>
  <c r="F120" s="1"/>
  <c r="E120" l="1"/>
  <c r="D121" l="1"/>
  <c r="C121" s="1"/>
  <c r="F121" s="1"/>
  <c r="E121" l="1"/>
  <c r="D122" l="1"/>
  <c r="C122" s="1"/>
  <c r="F122" s="1"/>
  <c r="E122" l="1"/>
  <c r="D123" l="1"/>
  <c r="C123" s="1"/>
  <c r="F123" s="1"/>
  <c r="E123" l="1"/>
  <c r="D124" l="1"/>
  <c r="C124" s="1"/>
  <c r="F124" s="1"/>
  <c r="E124" l="1"/>
  <c r="D125" l="1"/>
  <c r="C125" s="1"/>
  <c r="F125" s="1"/>
  <c r="E125" l="1"/>
  <c r="D126" l="1"/>
  <c r="C126" s="1"/>
  <c r="F126" s="1"/>
  <c r="E126" l="1"/>
  <c r="D127" l="1"/>
  <c r="C127" s="1"/>
  <c r="F127" s="1"/>
  <c r="E127" l="1"/>
  <c r="D128" l="1"/>
  <c r="C128" s="1"/>
  <c r="F128" s="1"/>
  <c r="E128" l="1"/>
  <c r="D129" l="1"/>
  <c r="C129" s="1"/>
  <c r="F129" s="1"/>
  <c r="E129" l="1"/>
  <c r="D130" l="1"/>
  <c r="C130" s="1"/>
  <c r="F130" s="1"/>
  <c r="E130" l="1"/>
  <c r="D131" l="1"/>
  <c r="C131" s="1"/>
  <c r="F131" s="1"/>
  <c r="E131" l="1"/>
  <c r="D132" l="1"/>
  <c r="C132" s="1"/>
  <c r="F132" s="1"/>
  <c r="E132" l="1"/>
  <c r="D133" l="1"/>
  <c r="C133" s="1"/>
  <c r="F133" s="1"/>
  <c r="E133" l="1"/>
  <c r="D134" l="1"/>
  <c r="C134" s="1"/>
  <c r="F134" s="1"/>
  <c r="E134" l="1"/>
  <c r="D135" l="1"/>
  <c r="C135" s="1"/>
  <c r="F135" s="1"/>
  <c r="E135" l="1"/>
  <c r="D136" l="1"/>
  <c r="C136" s="1"/>
  <c r="F136" s="1"/>
  <c r="E136" l="1"/>
  <c r="D137" l="1"/>
  <c r="C137" s="1"/>
  <c r="F137" s="1"/>
  <c r="E137" l="1"/>
  <c r="D138" l="1"/>
  <c r="C138" s="1"/>
  <c r="F138" s="1"/>
  <c r="E138" l="1"/>
  <c r="D139" l="1"/>
  <c r="C139" s="1"/>
  <c r="F139" s="1"/>
  <c r="E139" l="1"/>
  <c r="D140" l="1"/>
  <c r="C140" s="1"/>
  <c r="F140" s="1"/>
  <c r="E140" l="1"/>
  <c r="D141" l="1"/>
  <c r="C141" s="1"/>
  <c r="F141" s="1"/>
  <c r="E141" l="1"/>
  <c r="D142" l="1"/>
  <c r="C142" s="1"/>
  <c r="F142" s="1"/>
  <c r="E142" l="1"/>
  <c r="D143" l="1"/>
  <c r="C143" s="1"/>
  <c r="F143" s="1"/>
  <c r="E143" l="1"/>
  <c r="D144" l="1"/>
  <c r="C144" s="1"/>
  <c r="F144" s="1"/>
  <c r="E144" l="1"/>
  <c r="D145" l="1"/>
  <c r="C145" s="1"/>
  <c r="F145" s="1"/>
  <c r="E145" l="1"/>
  <c r="D146" l="1"/>
  <c r="C146" s="1"/>
  <c r="F146" s="1"/>
  <c r="E146" l="1"/>
  <c r="D147" l="1"/>
  <c r="C147" s="1"/>
  <c r="F147" s="1"/>
  <c r="E147" l="1"/>
  <c r="D148" l="1"/>
  <c r="C148" s="1"/>
  <c r="F148" s="1"/>
  <c r="E148" l="1"/>
  <c r="D149" l="1"/>
  <c r="C149" s="1"/>
  <c r="F149" s="1"/>
  <c r="E149" l="1"/>
  <c r="D150" l="1"/>
  <c r="C150" s="1"/>
  <c r="F150" s="1"/>
  <c r="E150" l="1"/>
  <c r="D151" l="1"/>
  <c r="C151" s="1"/>
  <c r="F151" s="1"/>
  <c r="E151" l="1"/>
  <c r="D152" l="1"/>
  <c r="B1" s="1"/>
  <c r="C152" l="1"/>
  <c r="F152" l="1"/>
  <c r="E152"/>
  <c r="B153"/>
  <c r="D153" s="1"/>
  <c r="C1"/>
  <c r="D23" i="45" l="1"/>
  <c r="E23"/>
  <c r="F23"/>
  <c r="G23"/>
  <c r="H23"/>
  <c r="I23"/>
  <c r="J23"/>
  <c r="K23"/>
  <c r="L23"/>
  <c r="M23"/>
  <c r="N23"/>
  <c r="C23"/>
  <c r="D127"/>
  <c r="E127"/>
  <c r="F127"/>
  <c r="G127"/>
  <c r="H127"/>
  <c r="I127"/>
  <c r="J127"/>
  <c r="K127"/>
  <c r="L127"/>
  <c r="M127"/>
  <c r="N127"/>
  <c r="C127"/>
  <c r="G8" i="55"/>
  <c r="E37" i="45"/>
  <c r="E36"/>
  <c r="B11" i="55"/>
  <c r="C11" s="1"/>
  <c r="D11" s="1"/>
  <c r="O23" i="45" l="1"/>
  <c r="R21"/>
  <c r="R23" s="1"/>
  <c r="G8" i="41"/>
  <c r="G7"/>
  <c r="C72" i="51" l="1"/>
  <c r="C61" i="54"/>
  <c r="E54"/>
  <c r="C87"/>
  <c r="E84"/>
  <c r="E85" s="1"/>
  <c r="L10" i="46"/>
  <c r="K10"/>
  <c r="C19"/>
  <c r="O124" i="45"/>
  <c r="O125"/>
  <c r="O126"/>
  <c r="O123"/>
  <c r="O115"/>
  <c r="O116"/>
  <c r="O117"/>
  <c r="O118"/>
  <c r="O114"/>
  <c r="O119" s="1"/>
  <c r="D119"/>
  <c r="E119"/>
  <c r="F119"/>
  <c r="G119"/>
  <c r="H119"/>
  <c r="I119"/>
  <c r="J119"/>
  <c r="K119"/>
  <c r="L119"/>
  <c r="M119"/>
  <c r="N119"/>
  <c r="C119"/>
  <c r="O76"/>
  <c r="L93"/>
  <c r="F93"/>
  <c r="O93"/>
  <c r="O81"/>
  <c r="O82"/>
  <c r="O83"/>
  <c r="O84"/>
  <c r="O80"/>
  <c r="O85" s="1"/>
  <c r="D85"/>
  <c r="E85"/>
  <c r="F85"/>
  <c r="G85"/>
  <c r="H85"/>
  <c r="I85"/>
  <c r="J85"/>
  <c r="K85"/>
  <c r="L85"/>
  <c r="M85"/>
  <c r="N85"/>
  <c r="C85"/>
  <c r="O47"/>
  <c r="O48"/>
  <c r="O49"/>
  <c r="O50"/>
  <c r="O46"/>
  <c r="O51" s="1"/>
  <c r="O42"/>
  <c r="D51"/>
  <c r="E51"/>
  <c r="F51"/>
  <c r="G51"/>
  <c r="H51"/>
  <c r="I51"/>
  <c r="J51"/>
  <c r="K51"/>
  <c r="L51"/>
  <c r="M51"/>
  <c r="N51"/>
  <c r="C51"/>
  <c r="E29"/>
  <c r="O19"/>
  <c r="O20"/>
  <c r="O21"/>
  <c r="O22"/>
  <c r="O18"/>
  <c r="O11"/>
  <c r="O12"/>
  <c r="O13"/>
  <c r="O14"/>
  <c r="O10"/>
  <c r="D26" i="54"/>
  <c r="E26"/>
  <c r="F26"/>
  <c r="G26"/>
  <c r="H26"/>
  <c r="D50"/>
  <c r="E50" s="1"/>
  <c r="F50" s="1"/>
  <c r="G50" s="1"/>
  <c r="H50" s="1"/>
  <c r="D49"/>
  <c r="E49" s="1"/>
  <c r="E43"/>
  <c r="F43"/>
  <c r="G43"/>
  <c r="H43"/>
  <c r="E44"/>
  <c r="F44"/>
  <c r="G44"/>
  <c r="H44"/>
  <c r="D44"/>
  <c r="D43"/>
  <c r="C44"/>
  <c r="C43"/>
  <c r="E6" i="52"/>
  <c r="B10" i="41"/>
  <c r="C10" s="1"/>
  <c r="E20" i="51"/>
  <c r="F20" s="1"/>
  <c r="G20" s="1"/>
  <c r="D7" i="52"/>
  <c r="O27" i="53"/>
  <c r="C31"/>
  <c r="C33" s="1"/>
  <c r="D33"/>
  <c r="E1" i="48"/>
  <c r="O16" i="53"/>
  <c r="O22"/>
  <c r="H18" i="46" s="1"/>
  <c r="O17" i="53"/>
  <c r="C28"/>
  <c r="C29"/>
  <c r="D23"/>
  <c r="D24" s="1"/>
  <c r="E23"/>
  <c r="F23"/>
  <c r="G23"/>
  <c r="H23"/>
  <c r="I23"/>
  <c r="J23"/>
  <c r="M23"/>
  <c r="N23"/>
  <c r="C23"/>
  <c r="C24" s="1"/>
  <c r="F36" i="45"/>
  <c r="O19" i="53"/>
  <c r="O25"/>
  <c r="O26"/>
  <c r="O59" i="45"/>
  <c r="D15"/>
  <c r="E15"/>
  <c r="F15"/>
  <c r="G15"/>
  <c r="H15"/>
  <c r="I15"/>
  <c r="J15"/>
  <c r="K15"/>
  <c r="L15"/>
  <c r="M15"/>
  <c r="N15"/>
  <c r="C15"/>
  <c r="L59"/>
  <c r="F59"/>
  <c r="D18" i="54"/>
  <c r="E18" s="1"/>
  <c r="D17"/>
  <c r="E17" s="1"/>
  <c r="D8"/>
  <c r="F8"/>
  <c r="G8"/>
  <c r="H8"/>
  <c r="I8"/>
  <c r="J8"/>
  <c r="L8"/>
  <c r="M8"/>
  <c r="N8"/>
  <c r="C8"/>
  <c r="O4"/>
  <c r="C26" s="1"/>
  <c r="D5"/>
  <c r="F5"/>
  <c r="F9" s="1"/>
  <c r="G5"/>
  <c r="H5"/>
  <c r="I5"/>
  <c r="J5"/>
  <c r="J9" s="1"/>
  <c r="L5"/>
  <c r="M5"/>
  <c r="N5"/>
  <c r="C5"/>
  <c r="C9" s="1"/>
  <c r="C19" i="51"/>
  <c r="J23" i="10"/>
  <c r="J24"/>
  <c r="J25"/>
  <c r="J26"/>
  <c r="J22"/>
  <c r="J6"/>
  <c r="K6" s="1"/>
  <c r="H7" s="1"/>
  <c r="D6"/>
  <c r="I44" i="51"/>
  <c r="J44"/>
  <c r="K44"/>
  <c r="L44"/>
  <c r="M44" s="1"/>
  <c r="I17" i="46" l="1"/>
  <c r="C26" i="64"/>
  <c r="C34" i="63"/>
  <c r="D33" s="1"/>
  <c r="D36" s="1"/>
  <c r="D16" i="52"/>
  <c r="C6" i="46"/>
  <c r="H7"/>
  <c r="C17" i="64"/>
  <c r="C18" i="63"/>
  <c r="O127" i="45"/>
  <c r="C7" i="46"/>
  <c r="C6" i="52"/>
  <c r="O15" i="45"/>
  <c r="C66" i="54"/>
  <c r="D66" s="1"/>
  <c r="E66" s="1"/>
  <c r="F66" s="1"/>
  <c r="G66" s="1"/>
  <c r="H66" s="1"/>
  <c r="M24" i="53"/>
  <c r="L9" i="54"/>
  <c r="G9"/>
  <c r="I24" i="53"/>
  <c r="O21"/>
  <c r="N9" i="54"/>
  <c r="I9"/>
  <c r="D9"/>
  <c r="F49"/>
  <c r="G49" s="1"/>
  <c r="H49" s="1"/>
  <c r="H52" s="1"/>
  <c r="H29" s="1"/>
  <c r="H30" s="1"/>
  <c r="E52"/>
  <c r="E29" s="1"/>
  <c r="E30" s="1"/>
  <c r="D52"/>
  <c r="D29" s="1"/>
  <c r="D30" s="1"/>
  <c r="M9"/>
  <c r="H9"/>
  <c r="O31" i="53"/>
  <c r="C76" i="54" s="1"/>
  <c r="D86" s="1"/>
  <c r="E7"/>
  <c r="E8" s="1"/>
  <c r="K7"/>
  <c r="K8" s="1"/>
  <c r="O23" i="53"/>
  <c r="C67" i="54" s="1"/>
  <c r="D67" s="1"/>
  <c r="E67" s="1"/>
  <c r="F67" s="1"/>
  <c r="G67" s="1"/>
  <c r="H67" s="1"/>
  <c r="D34" i="53"/>
  <c r="D35" s="1"/>
  <c r="N24"/>
  <c r="J24"/>
  <c r="L24"/>
  <c r="C34"/>
  <c r="C10" i="54"/>
  <c r="D10" s="1"/>
  <c r="J7" i="10"/>
  <c r="K7" s="1"/>
  <c r="H8" s="1"/>
  <c r="J8" s="1"/>
  <c r="K8" s="1"/>
  <c r="H9" s="1"/>
  <c r="B24" i="46"/>
  <c r="O133" i="45"/>
  <c r="O135" s="1"/>
  <c r="N133"/>
  <c r="M133"/>
  <c r="L133"/>
  <c r="L135" s="1"/>
  <c r="K133"/>
  <c r="J133"/>
  <c r="I133"/>
  <c r="H133"/>
  <c r="H135" s="1"/>
  <c r="G133"/>
  <c r="F133"/>
  <c r="E133"/>
  <c r="D133"/>
  <c r="D135" s="1"/>
  <c r="C133"/>
  <c r="N135"/>
  <c r="J135"/>
  <c r="F135"/>
  <c r="N111"/>
  <c r="M111"/>
  <c r="L111"/>
  <c r="J111"/>
  <c r="I111"/>
  <c r="H111"/>
  <c r="G111"/>
  <c r="F111"/>
  <c r="D111"/>
  <c r="C111"/>
  <c r="O110"/>
  <c r="O99"/>
  <c r="O101" s="1"/>
  <c r="N99"/>
  <c r="M99"/>
  <c r="L99"/>
  <c r="K99"/>
  <c r="J99"/>
  <c r="I99"/>
  <c r="H99"/>
  <c r="G99"/>
  <c r="F99"/>
  <c r="E99"/>
  <c r="D99"/>
  <c r="C99"/>
  <c r="N93"/>
  <c r="N101" s="1"/>
  <c r="M93"/>
  <c r="L101"/>
  <c r="K93"/>
  <c r="J93"/>
  <c r="J101" s="1"/>
  <c r="I93"/>
  <c r="H93"/>
  <c r="H101" s="1"/>
  <c r="G93"/>
  <c r="F101"/>
  <c r="E93"/>
  <c r="D93"/>
  <c r="D101" s="1"/>
  <c r="C93"/>
  <c r="N77"/>
  <c r="M77"/>
  <c r="L77"/>
  <c r="L103" s="1"/>
  <c r="J77"/>
  <c r="I77"/>
  <c r="H77"/>
  <c r="G77"/>
  <c r="F77"/>
  <c r="D77"/>
  <c r="C77"/>
  <c r="O65"/>
  <c r="N65"/>
  <c r="M65"/>
  <c r="L65"/>
  <c r="L67" s="1"/>
  <c r="K65"/>
  <c r="J65"/>
  <c r="I65"/>
  <c r="H65"/>
  <c r="G65"/>
  <c r="F65"/>
  <c r="E65"/>
  <c r="D65"/>
  <c r="C65"/>
  <c r="N59"/>
  <c r="N67" s="1"/>
  <c r="M59"/>
  <c r="M67" s="1"/>
  <c r="K59"/>
  <c r="J59"/>
  <c r="J67" s="1"/>
  <c r="I59"/>
  <c r="H59"/>
  <c r="H67" s="1"/>
  <c r="G59"/>
  <c r="F67"/>
  <c r="E59"/>
  <c r="D59"/>
  <c r="D67" s="1"/>
  <c r="C59"/>
  <c r="N43"/>
  <c r="M43"/>
  <c r="L43"/>
  <c r="J43"/>
  <c r="I43"/>
  <c r="H43"/>
  <c r="G43"/>
  <c r="F43"/>
  <c r="D43"/>
  <c r="C43"/>
  <c r="O6"/>
  <c r="D29"/>
  <c r="D31" s="1"/>
  <c r="E31"/>
  <c r="F29"/>
  <c r="F31" s="1"/>
  <c r="G29"/>
  <c r="G31" s="1"/>
  <c r="H29"/>
  <c r="H31" s="1"/>
  <c r="I29"/>
  <c r="I31" s="1"/>
  <c r="J29"/>
  <c r="J31" s="1"/>
  <c r="K29"/>
  <c r="K31" s="1"/>
  <c r="L29"/>
  <c r="L31" s="1"/>
  <c r="M29"/>
  <c r="M31" s="1"/>
  <c r="N29"/>
  <c r="N31" s="1"/>
  <c r="O29"/>
  <c r="C29"/>
  <c r="N7"/>
  <c r="M7"/>
  <c r="M33" s="1"/>
  <c r="L7"/>
  <c r="J7"/>
  <c r="I7"/>
  <c r="H7"/>
  <c r="G7"/>
  <c r="F7"/>
  <c r="E7"/>
  <c r="D7"/>
  <c r="C7"/>
  <c r="D9" i="64" l="1"/>
  <c r="D18" s="1"/>
  <c r="C10" i="63"/>
  <c r="C9"/>
  <c r="D8" s="1"/>
  <c r="C27"/>
  <c r="D26" i="64"/>
  <c r="C29"/>
  <c r="G24" i="53"/>
  <c r="F33" i="45"/>
  <c r="C31"/>
  <c r="F24" i="53"/>
  <c r="F6" i="52"/>
  <c r="C65" i="54"/>
  <c r="D65" s="1"/>
  <c r="E65" s="1"/>
  <c r="F65" s="1"/>
  <c r="G65" s="1"/>
  <c r="H65" s="1"/>
  <c r="D72"/>
  <c r="E72" s="1"/>
  <c r="O31" i="45"/>
  <c r="M69"/>
  <c r="C67"/>
  <c r="E67"/>
  <c r="G67"/>
  <c r="I67"/>
  <c r="I69" s="1"/>
  <c r="K67"/>
  <c r="H103"/>
  <c r="J103"/>
  <c r="C101"/>
  <c r="E101"/>
  <c r="G101"/>
  <c r="G103" s="1"/>
  <c r="I101"/>
  <c r="K101"/>
  <c r="M101"/>
  <c r="C135"/>
  <c r="C137" s="1"/>
  <c r="C138" s="1"/>
  <c r="E135"/>
  <c r="G135"/>
  <c r="G137" s="1"/>
  <c r="I135"/>
  <c r="K135"/>
  <c r="M135"/>
  <c r="H24" i="53"/>
  <c r="O29"/>
  <c r="C74" i="54" s="1"/>
  <c r="D74" s="1"/>
  <c r="E74" s="1"/>
  <c r="F74" s="1"/>
  <c r="G74" s="1"/>
  <c r="H74" s="1"/>
  <c r="D76"/>
  <c r="E76" s="1"/>
  <c r="F76" s="1"/>
  <c r="G76" s="1"/>
  <c r="H76" s="1"/>
  <c r="F103" i="45"/>
  <c r="F69"/>
  <c r="J33"/>
  <c r="H33"/>
  <c r="I33"/>
  <c r="D33"/>
  <c r="D34" s="1"/>
  <c r="E33"/>
  <c r="C33"/>
  <c r="O7" i="54"/>
  <c r="G52"/>
  <c r="G29" s="1"/>
  <c r="G30" s="1"/>
  <c r="F52"/>
  <c r="F29" s="1"/>
  <c r="F30" s="1"/>
  <c r="O8"/>
  <c r="C30" s="1"/>
  <c r="C29"/>
  <c r="L33" i="45"/>
  <c r="D69"/>
  <c r="H69"/>
  <c r="M103"/>
  <c r="G33"/>
  <c r="C69"/>
  <c r="C70" s="1"/>
  <c r="G69"/>
  <c r="D137"/>
  <c r="I137"/>
  <c r="O28" i="53"/>
  <c r="C73" i="54" s="1"/>
  <c r="D73" s="1"/>
  <c r="E73" s="1"/>
  <c r="F73" s="1"/>
  <c r="G73" s="1"/>
  <c r="H137" i="45"/>
  <c r="M137"/>
  <c r="I103"/>
  <c r="L137"/>
  <c r="E34"/>
  <c r="F34" s="1"/>
  <c r="G34" s="1"/>
  <c r="H34" s="1"/>
  <c r="I34" s="1"/>
  <c r="J34" s="1"/>
  <c r="N33"/>
  <c r="L69"/>
  <c r="J9" i="10"/>
  <c r="K9" s="1"/>
  <c r="H10" s="1"/>
  <c r="J10" s="1"/>
  <c r="K10" s="1"/>
  <c r="H11" s="1"/>
  <c r="J11" s="1"/>
  <c r="K11" s="1"/>
  <c r="F137" i="45"/>
  <c r="J137"/>
  <c r="N137"/>
  <c r="D103"/>
  <c r="N103"/>
  <c r="C103"/>
  <c r="C104" s="1"/>
  <c r="D104" s="1"/>
  <c r="N69"/>
  <c r="J69"/>
  <c r="E9" i="64" l="1"/>
  <c r="F9" s="1"/>
  <c r="E26"/>
  <c r="D138" i="45"/>
  <c r="E87" i="54"/>
  <c r="F72"/>
  <c r="O18" i="53"/>
  <c r="H73" i="54"/>
  <c r="D70" i="45"/>
  <c r="G60" i="41"/>
  <c r="G61" s="1"/>
  <c r="G62" s="1"/>
  <c r="U40"/>
  <c r="J38"/>
  <c r="C26"/>
  <c r="D26"/>
  <c r="E26"/>
  <c r="F26"/>
  <c r="G26"/>
  <c r="H26"/>
  <c r="I26"/>
  <c r="J26"/>
  <c r="K26"/>
  <c r="L26"/>
  <c r="M26"/>
  <c r="B26"/>
  <c r="C18"/>
  <c r="E18"/>
  <c r="F18"/>
  <c r="G18"/>
  <c r="H18"/>
  <c r="I18"/>
  <c r="K18"/>
  <c r="L18"/>
  <c r="M18"/>
  <c r="B18"/>
  <c r="U41"/>
  <c r="E20" i="64" l="1"/>
  <c r="F26"/>
  <c r="G72" i="54"/>
  <c r="C4" i="51"/>
  <c r="C62" i="54"/>
  <c r="D62" s="1"/>
  <c r="E62" s="1"/>
  <c r="F62" s="1"/>
  <c r="G62" s="1"/>
  <c r="H62" s="1"/>
  <c r="M41" i="41"/>
  <c r="M42" s="1"/>
  <c r="M43" s="1"/>
  <c r="M44" s="1"/>
  <c r="L41"/>
  <c r="K41"/>
  <c r="J41"/>
  <c r="J42" s="1"/>
  <c r="J43" s="1"/>
  <c r="D51"/>
  <c r="F39"/>
  <c r="G39"/>
  <c r="L39"/>
  <c r="I41"/>
  <c r="I42" s="1"/>
  <c r="I43" s="1"/>
  <c r="I44" s="1"/>
  <c r="G41"/>
  <c r="H41"/>
  <c r="F41"/>
  <c r="F20" i="64" l="1"/>
  <c r="G26"/>
  <c r="D4" i="51"/>
  <c r="C3"/>
  <c r="H72" i="54"/>
  <c r="F42" i="41"/>
  <c r="F43" s="1"/>
  <c r="F44" s="1"/>
  <c r="I42" i="51"/>
  <c r="H39" i="41"/>
  <c r="N39" s="1"/>
  <c r="G42"/>
  <c r="G43" s="1"/>
  <c r="G44" s="1"/>
  <c r="L42"/>
  <c r="L43" s="1"/>
  <c r="L44" s="1"/>
  <c r="G20" i="64" l="1"/>
  <c r="E4" i="51"/>
  <c r="D3"/>
  <c r="J42"/>
  <c r="F4" l="1"/>
  <c r="E3"/>
  <c r="K42"/>
  <c r="V41" i="41"/>
  <c r="W41" s="1"/>
  <c r="V40"/>
  <c r="W40" s="1"/>
  <c r="F3" i="51" l="1"/>
  <c r="G4"/>
  <c r="G3" s="1"/>
  <c r="M42"/>
  <c r="L42"/>
  <c r="W42" i="41"/>
  <c r="U47" s="1"/>
  <c r="I41" i="51" l="1"/>
  <c r="J41" l="1"/>
  <c r="K41" l="1"/>
  <c r="M41" l="1"/>
  <c r="L41"/>
  <c r="G51" i="41"/>
  <c r="N16"/>
  <c r="N17"/>
  <c r="N19"/>
  <c r="N20"/>
  <c r="N21"/>
  <c r="N22"/>
  <c r="N23"/>
  <c r="N24"/>
  <c r="N25"/>
  <c r="N27"/>
  <c r="N28"/>
  <c r="N32"/>
  <c r="N34"/>
  <c r="N35"/>
  <c r="N37"/>
  <c r="E41"/>
  <c r="D41"/>
  <c r="C41"/>
  <c r="C42" s="1"/>
  <c r="C43" s="1"/>
  <c r="C44" s="1"/>
  <c r="B41"/>
  <c r="B42" s="1"/>
  <c r="B43" s="1"/>
  <c r="B44" s="1"/>
  <c r="J51" i="39"/>
  <c r="L51" s="1"/>
  <c r="M51" s="1"/>
  <c r="N51" s="1"/>
  <c r="M49"/>
  <c r="N49" s="1"/>
  <c r="O49" s="1"/>
  <c r="P49" s="1"/>
  <c r="O56"/>
  <c r="M56"/>
  <c r="M57" s="1"/>
  <c r="M58" s="1"/>
  <c r="D10" i="41" l="1"/>
  <c r="N26"/>
  <c r="H40"/>
  <c r="H42" s="1"/>
  <c r="H43" s="1"/>
  <c r="H44" s="1"/>
  <c r="M60" i="39"/>
  <c r="M59"/>
  <c r="P55"/>
  <c r="O55"/>
  <c r="P54" s="1"/>
  <c r="F65"/>
  <c r="F66" s="1"/>
  <c r="J54"/>
  <c r="L53"/>
  <c r="L54" s="1"/>
  <c r="J55"/>
  <c r="K51"/>
  <c r="F50"/>
  <c r="F54" s="1"/>
  <c r="F56" s="1"/>
  <c r="A41"/>
  <c r="B41" s="1"/>
  <c r="A34"/>
  <c r="D34" s="1"/>
  <c r="A33"/>
  <c r="D33" s="1"/>
  <c r="H33"/>
  <c r="M5"/>
  <c r="L5"/>
  <c r="K5"/>
  <c r="G5"/>
  <c r="U11"/>
  <c r="R14"/>
  <c r="R20"/>
  <c r="R21" s="1"/>
  <c r="T10"/>
  <c r="T15" s="1"/>
  <c r="T5"/>
  <c r="T7"/>
  <c r="D8" i="40"/>
  <c r="E8" s="1"/>
  <c r="F8" s="1"/>
  <c r="B8"/>
  <c r="D7"/>
  <c r="E7" s="1"/>
  <c r="F7" s="1"/>
  <c r="B7"/>
  <c r="D6"/>
  <c r="B6"/>
  <c r="K5" i="45" s="1"/>
  <c r="D5" i="40"/>
  <c r="B5"/>
  <c r="G9" i="55" s="1"/>
  <c r="D4" i="40"/>
  <c r="E4" s="1"/>
  <c r="F4" s="1"/>
  <c r="B4"/>
  <c r="E5" l="1"/>
  <c r="E41" i="45"/>
  <c r="E6" i="40"/>
  <c r="K41" i="45"/>
  <c r="K43" s="1"/>
  <c r="K69" s="1"/>
  <c r="O5"/>
  <c r="O7" s="1"/>
  <c r="O33" s="1"/>
  <c r="K7"/>
  <c r="K33" s="1"/>
  <c r="K34" s="1"/>
  <c r="L34" s="1"/>
  <c r="M34" s="1"/>
  <c r="N34" s="1"/>
  <c r="F8" i="41"/>
  <c r="D15" s="1"/>
  <c r="D18" s="1"/>
  <c r="F7"/>
  <c r="J15" s="1"/>
  <c r="D35" i="39"/>
  <c r="B5"/>
  <c r="N5" s="1"/>
  <c r="N8" s="1"/>
  <c r="N40" i="41"/>
  <c r="E30"/>
  <c r="E31"/>
  <c r="K31"/>
  <c r="N41"/>
  <c r="B45"/>
  <c r="C45" s="1"/>
  <c r="T13" i="39"/>
  <c r="T11"/>
  <c r="N24"/>
  <c r="N23"/>
  <c r="N22"/>
  <c r="N21"/>
  <c r="N20"/>
  <c r="L25"/>
  <c r="J25"/>
  <c r="H25"/>
  <c r="F25"/>
  <c r="D25"/>
  <c r="B25"/>
  <c r="L8"/>
  <c r="K8"/>
  <c r="I8"/>
  <c r="H8"/>
  <c r="F8"/>
  <c r="E8"/>
  <c r="C8"/>
  <c r="M8"/>
  <c r="J8"/>
  <c r="G8"/>
  <c r="D8"/>
  <c r="F62" i="38"/>
  <c r="F61"/>
  <c r="F60"/>
  <c r="F58"/>
  <c r="F57"/>
  <c r="F56"/>
  <c r="F54"/>
  <c r="F53"/>
  <c r="F52"/>
  <c r="F51"/>
  <c r="F50"/>
  <c r="F48"/>
  <c r="F47"/>
  <c r="F46"/>
  <c r="F45"/>
  <c r="F44"/>
  <c r="F43"/>
  <c r="F42"/>
  <c r="F41"/>
  <c r="F40"/>
  <c r="E38"/>
  <c r="F38" s="1"/>
  <c r="E37"/>
  <c r="F37" s="1"/>
  <c r="E35"/>
  <c r="F35" s="1"/>
  <c r="F33"/>
  <c r="F32"/>
  <c r="E31"/>
  <c r="F31" s="1"/>
  <c r="F30"/>
  <c r="F29"/>
  <c r="F28"/>
  <c r="E27"/>
  <c r="F27" s="1"/>
  <c r="E25"/>
  <c r="F25" s="1"/>
  <c r="E23"/>
  <c r="F23" s="1"/>
  <c r="E22"/>
  <c r="F22" s="1"/>
  <c r="E20"/>
  <c r="F20" s="1"/>
  <c r="F19"/>
  <c r="E18"/>
  <c r="F18" s="1"/>
  <c r="F17"/>
  <c r="E16"/>
  <c r="F16" s="1"/>
  <c r="F15"/>
  <c r="E13"/>
  <c r="F13" s="1"/>
  <c r="F12"/>
  <c r="F11"/>
  <c r="F6" i="40" l="1"/>
  <c r="K75" i="45"/>
  <c r="K77" s="1"/>
  <c r="K103" s="1"/>
  <c r="F5" i="40"/>
  <c r="E75" i="45"/>
  <c r="E43"/>
  <c r="O41"/>
  <c r="O34"/>
  <c r="N15" i="41"/>
  <c r="E29"/>
  <c r="K29"/>
  <c r="K30"/>
  <c r="J18"/>
  <c r="J44" s="1"/>
  <c r="B8" i="39"/>
  <c r="B9" s="1"/>
  <c r="E33" i="41"/>
  <c r="E42" s="1"/>
  <c r="E43" s="1"/>
  <c r="E44" s="1"/>
  <c r="N31"/>
  <c r="N30"/>
  <c r="H36"/>
  <c r="M36"/>
  <c r="D36"/>
  <c r="D38" s="1"/>
  <c r="D42" s="1"/>
  <c r="D43" s="1"/>
  <c r="D44" s="1"/>
  <c r="M25" i="39"/>
  <c r="B27"/>
  <c r="C25"/>
  <c r="E25"/>
  <c r="G25"/>
  <c r="I25"/>
  <c r="K25"/>
  <c r="E36" i="38"/>
  <c r="F36" s="1"/>
  <c r="F63" s="1"/>
  <c r="C18" i="46" s="1"/>
  <c r="E77" i="45" l="1"/>
  <c r="E103" s="1"/>
  <c r="E104" s="1"/>
  <c r="F104" s="1"/>
  <c r="G104" s="1"/>
  <c r="H104" s="1"/>
  <c r="I104" s="1"/>
  <c r="J104" s="1"/>
  <c r="K104" s="1"/>
  <c r="L104" s="1"/>
  <c r="M104" s="1"/>
  <c r="N104" s="1"/>
  <c r="O104" s="1"/>
  <c r="O75"/>
  <c r="O77" s="1"/>
  <c r="O103" s="1"/>
  <c r="C16" i="64"/>
  <c r="C17" i="63"/>
  <c r="O43" i="45"/>
  <c r="E69"/>
  <c r="E70" s="1"/>
  <c r="F70" s="1"/>
  <c r="G70" s="1"/>
  <c r="H70" s="1"/>
  <c r="I70" s="1"/>
  <c r="J70" s="1"/>
  <c r="K70" s="1"/>
  <c r="L70" s="1"/>
  <c r="M70" s="1"/>
  <c r="N70" s="1"/>
  <c r="D40" i="54"/>
  <c r="E40" s="1"/>
  <c r="F40" s="1"/>
  <c r="G40" s="1"/>
  <c r="H40" s="1"/>
  <c r="E109" i="45"/>
  <c r="E3" i="54"/>
  <c r="D39"/>
  <c r="K109" i="45"/>
  <c r="K111" s="1"/>
  <c r="K137" s="1"/>
  <c r="K3" i="54"/>
  <c r="K5" s="1"/>
  <c r="K9" s="1"/>
  <c r="D45" i="41"/>
  <c r="E45" s="1"/>
  <c r="F45" s="1"/>
  <c r="G45" s="1"/>
  <c r="H45" s="1"/>
  <c r="I45" s="1"/>
  <c r="J45" s="1"/>
  <c r="K45" s="1"/>
  <c r="L45" s="1"/>
  <c r="M45" s="1"/>
  <c r="K33"/>
  <c r="K42" s="1"/>
  <c r="K43" s="1"/>
  <c r="K44" s="1"/>
  <c r="N29"/>
  <c r="N33"/>
  <c r="N36"/>
  <c r="C2" i="39"/>
  <c r="C9" s="1"/>
  <c r="C27" s="1"/>
  <c r="D2" s="1"/>
  <c r="D9" s="1"/>
  <c r="C6" i="2"/>
  <c r="K24" i="53" l="1"/>
  <c r="K8" i="61"/>
  <c r="K12" s="1"/>
  <c r="K21" s="1"/>
  <c r="D45" i="54"/>
  <c r="E39"/>
  <c r="E5"/>
  <c r="O3"/>
  <c r="C25" s="1"/>
  <c r="O109" i="45"/>
  <c r="O111" s="1"/>
  <c r="O137" s="1"/>
  <c r="E111"/>
  <c r="E137" s="1"/>
  <c r="E138" s="1"/>
  <c r="F138" s="1"/>
  <c r="G138" s="1"/>
  <c r="H138" s="1"/>
  <c r="I138" s="1"/>
  <c r="J138" s="1"/>
  <c r="K138" s="1"/>
  <c r="L138" s="1"/>
  <c r="M138" s="1"/>
  <c r="N138" s="1"/>
  <c r="O138" s="1"/>
  <c r="N38" i="41"/>
  <c r="N18"/>
  <c r="D27" i="39"/>
  <c r="E2" s="1"/>
  <c r="E9" s="1"/>
  <c r="E27" s="1"/>
  <c r="F2" s="1"/>
  <c r="F9" s="1"/>
  <c r="F27" s="1"/>
  <c r="G2" s="1"/>
  <c r="G9" s="1"/>
  <c r="G27" s="1"/>
  <c r="H2" s="1"/>
  <c r="H9" s="1"/>
  <c r="H27" s="1"/>
  <c r="E9" i="54" l="1"/>
  <c r="E10" s="1"/>
  <c r="O5"/>
  <c r="D25"/>
  <c r="D27" s="1"/>
  <c r="D31" s="1"/>
  <c r="D53"/>
  <c r="F39"/>
  <c r="E45"/>
  <c r="I45" i="51"/>
  <c r="I49" s="1"/>
  <c r="I53" s="1"/>
  <c r="I2" i="39"/>
  <c r="I9" s="1"/>
  <c r="I27" s="1"/>
  <c r="J2" s="1"/>
  <c r="J9" s="1"/>
  <c r="J27" s="1"/>
  <c r="K2" s="1"/>
  <c r="K9" s="1"/>
  <c r="K27" s="1"/>
  <c r="L2" s="1"/>
  <c r="L9" s="1"/>
  <c r="L27" s="1"/>
  <c r="M2" s="1"/>
  <c r="M9" s="1"/>
  <c r="M27" s="1"/>
  <c r="B8" i="34"/>
  <c r="B7"/>
  <c r="B6"/>
  <c r="B5"/>
  <c r="G39" i="54" l="1"/>
  <c r="F45"/>
  <c r="D64"/>
  <c r="D11" i="51" s="1"/>
  <c r="D32" i="54"/>
  <c r="E8" i="61"/>
  <c r="F10" i="54"/>
  <c r="G10" s="1"/>
  <c r="H10" s="1"/>
  <c r="I10" s="1"/>
  <c r="J10" s="1"/>
  <c r="K10" s="1"/>
  <c r="L10" s="1"/>
  <c r="M10" s="1"/>
  <c r="N10" s="1"/>
  <c r="E25"/>
  <c r="E27" s="1"/>
  <c r="E31" s="1"/>
  <c r="E64" s="1"/>
  <c r="E11" i="51" s="1"/>
  <c r="E53" i="54"/>
  <c r="C27"/>
  <c r="O9"/>
  <c r="C31" s="1"/>
  <c r="J45" i="51"/>
  <c r="J49" s="1"/>
  <c r="N27" i="39"/>
  <c r="O27" s="1"/>
  <c r="N9"/>
  <c r="H32"/>
  <c r="E12" i="61" l="1"/>
  <c r="O8"/>
  <c r="H39" i="54"/>
  <c r="H45" s="1"/>
  <c r="G45"/>
  <c r="E24" i="53"/>
  <c r="O20"/>
  <c r="C64" i="54" s="1"/>
  <c r="F25"/>
  <c r="F27" s="1"/>
  <c r="F31" s="1"/>
  <c r="F64" s="1"/>
  <c r="F11" i="51" s="1"/>
  <c r="F53" i="54"/>
  <c r="E32"/>
  <c r="F32" s="1"/>
  <c r="C7" i="52"/>
  <c r="K45" i="51"/>
  <c r="K49" s="1"/>
  <c r="K53" s="1"/>
  <c r="J53"/>
  <c r="H25" i="54" l="1"/>
  <c r="H27" s="1"/>
  <c r="H31" s="1"/>
  <c r="H64" s="1"/>
  <c r="H53"/>
  <c r="E21" i="61"/>
  <c r="E22" s="1"/>
  <c r="F22" s="1"/>
  <c r="G22" s="1"/>
  <c r="H22" s="1"/>
  <c r="I22" s="1"/>
  <c r="J22" s="1"/>
  <c r="K22" s="1"/>
  <c r="L22" s="1"/>
  <c r="M22" s="1"/>
  <c r="N22" s="1"/>
  <c r="O12"/>
  <c r="O21" s="1"/>
  <c r="O24" i="53"/>
  <c r="G25" i="54"/>
  <c r="G27" s="1"/>
  <c r="G31" s="1"/>
  <c r="G64" s="1"/>
  <c r="G11" i="51" s="1"/>
  <c r="G53" i="54"/>
  <c r="G32"/>
  <c r="H32" s="1"/>
  <c r="L45" i="51"/>
  <c r="L49" s="1"/>
  <c r="M45"/>
  <c r="M49" s="1"/>
  <c r="M53" s="1"/>
  <c r="N42" i="41"/>
  <c r="N12" i="39"/>
  <c r="N16"/>
  <c r="N18"/>
  <c r="N15"/>
  <c r="N14"/>
  <c r="N19"/>
  <c r="L53" i="51" l="1"/>
  <c r="N43" i="41"/>
  <c r="N45" l="1"/>
  <c r="N44"/>
  <c r="D50" l="1"/>
  <c r="G50" s="1"/>
  <c r="N13" i="39" l="1"/>
  <c r="E6" i="10" l="1"/>
  <c r="B7" s="1"/>
  <c r="D7" s="1"/>
  <c r="B8" i="9"/>
  <c r="B7"/>
  <c r="D7" s="1"/>
  <c r="D8"/>
  <c r="D32" i="7"/>
  <c r="E32" s="1"/>
  <c r="C7" i="6"/>
  <c r="C11" s="1"/>
  <c r="C17" s="1"/>
  <c r="C18" s="1"/>
  <c r="B8"/>
  <c r="E5" i="5"/>
  <c r="F5" s="1"/>
  <c r="G5" s="1"/>
  <c r="E6"/>
  <c r="F6" s="1"/>
  <c r="G6" s="1"/>
  <c r="G7"/>
  <c r="G8"/>
  <c r="F9"/>
  <c r="F10"/>
  <c r="G10" s="1"/>
  <c r="E37" i="4"/>
  <c r="F37" s="1"/>
  <c r="E38"/>
  <c r="F38"/>
  <c r="E4" i="3"/>
  <c r="F4"/>
  <c r="E5"/>
  <c r="F5"/>
  <c r="F6" i="2"/>
  <c r="D16" i="64" s="1"/>
  <c r="E16" s="1"/>
  <c r="F16" s="1"/>
  <c r="G16" s="1"/>
  <c r="B17" i="6" l="1"/>
  <c r="B18" s="1"/>
  <c r="R14" i="53"/>
  <c r="E11" i="6"/>
  <c r="E17" s="1"/>
  <c r="E18" s="1"/>
  <c r="D11"/>
  <c r="D17" s="1"/>
  <c r="D18" s="1"/>
  <c r="F7" i="3"/>
  <c r="F9" s="1"/>
  <c r="F39" i="4"/>
  <c r="G38"/>
  <c r="E39"/>
  <c r="G37"/>
  <c r="F32" i="7"/>
  <c r="F34" s="1"/>
  <c r="B9" i="9"/>
  <c r="G12" i="5"/>
  <c r="G9"/>
  <c r="F11"/>
  <c r="E7" i="10"/>
  <c r="D9" i="9"/>
  <c r="R19" i="53" l="1"/>
  <c r="S14"/>
  <c r="B8" i="10"/>
  <c r="D8" s="1"/>
  <c r="E8" s="1"/>
  <c r="B9" s="1"/>
  <c r="D9" s="1"/>
  <c r="F11" i="3"/>
  <c r="G39" i="4"/>
  <c r="G40" s="1"/>
  <c r="G41" s="1"/>
  <c r="C15" i="46" s="1"/>
  <c r="F36" i="7"/>
  <c r="F38" s="1"/>
  <c r="C16" i="46" s="1"/>
  <c r="G11" i="5"/>
  <c r="C17" i="46" s="1"/>
  <c r="C7" i="2"/>
  <c r="N17" i="39"/>
  <c r="C8" i="2"/>
  <c r="N11" i="39"/>
  <c r="N25" s="1"/>
  <c r="C13" i="64" l="1"/>
  <c r="C14" i="63"/>
  <c r="C14" i="64"/>
  <c r="C15" i="63"/>
  <c r="F11" i="6"/>
  <c r="F17" s="1"/>
  <c r="F18" s="1"/>
  <c r="R20" i="53"/>
  <c r="S20" s="1"/>
  <c r="S19"/>
  <c r="C15" i="64"/>
  <c r="C16" i="63"/>
  <c r="C14" i="46"/>
  <c r="C10" i="2"/>
  <c r="F10" s="1"/>
  <c r="B18" i="3"/>
  <c r="C9" i="2"/>
  <c r="F9" s="1"/>
  <c r="F8"/>
  <c r="E9" i="10"/>
  <c r="D14" i="64" l="1"/>
  <c r="E14" s="1"/>
  <c r="F14" s="1"/>
  <c r="G14" s="1"/>
  <c r="D13"/>
  <c r="E13" s="1"/>
  <c r="F13" s="1"/>
  <c r="G13" s="1"/>
  <c r="D13" i="46"/>
  <c r="C12" i="64"/>
  <c r="C13" i="63"/>
  <c r="D12" s="1"/>
  <c r="D19" s="1"/>
  <c r="D20" s="1"/>
  <c r="D15" i="64"/>
  <c r="E15" s="1"/>
  <c r="F15" s="1"/>
  <c r="G15" s="1"/>
  <c r="R21" i="53"/>
  <c r="F11" i="2"/>
  <c r="C16" i="51" s="1"/>
  <c r="C11" i="2"/>
  <c r="D15" i="52" s="1"/>
  <c r="E5" s="1"/>
  <c r="B10" i="10"/>
  <c r="S21" i="53" l="1"/>
  <c r="E30" s="1"/>
  <c r="E19" i="66" s="1"/>
  <c r="D12" i="51"/>
  <c r="D75" i="54"/>
  <c r="E75" s="1"/>
  <c r="F75" s="1"/>
  <c r="G75" s="1"/>
  <c r="H75" s="1"/>
  <c r="D42" i="51"/>
  <c r="D16"/>
  <c r="D12" i="64"/>
  <c r="C18"/>
  <c r="F5" i="52"/>
  <c r="C60" i="54"/>
  <c r="H14" i="46"/>
  <c r="L4" i="48"/>
  <c r="E7" i="52"/>
  <c r="F7" s="1"/>
  <c r="D10" i="10"/>
  <c r="E10" s="1"/>
  <c r="B11" s="1"/>
  <c r="E33" i="53" l="1"/>
  <c r="E34" s="1"/>
  <c r="E35" s="1"/>
  <c r="N188"/>
  <c r="N191" s="1"/>
  <c r="N192" s="1"/>
  <c r="L188"/>
  <c r="L191" s="1"/>
  <c r="L192" s="1"/>
  <c r="J188"/>
  <c r="J191" s="1"/>
  <c r="J192" s="1"/>
  <c r="H188"/>
  <c r="H191" s="1"/>
  <c r="H192" s="1"/>
  <c r="F188"/>
  <c r="F191" s="1"/>
  <c r="M188"/>
  <c r="M191" s="1"/>
  <c r="M192" s="1"/>
  <c r="K188"/>
  <c r="K191" s="1"/>
  <c r="K192" s="1"/>
  <c r="I188"/>
  <c r="I191" s="1"/>
  <c r="I192" s="1"/>
  <c r="G188"/>
  <c r="G191" s="1"/>
  <c r="G192" s="1"/>
  <c r="E188"/>
  <c r="E42" i="51"/>
  <c r="E16"/>
  <c r="I30" i="53"/>
  <c r="L30"/>
  <c r="H30"/>
  <c r="H19" i="66" s="1"/>
  <c r="H22" s="1"/>
  <c r="H23" s="1"/>
  <c r="N30" i="53"/>
  <c r="F30"/>
  <c r="K30"/>
  <c r="M30"/>
  <c r="J30"/>
  <c r="G30"/>
  <c r="G19" i="66" s="1"/>
  <c r="G22" s="1"/>
  <c r="G23" s="1"/>
  <c r="I13" i="46"/>
  <c r="C22" i="64"/>
  <c r="C28" i="63"/>
  <c r="E12" i="64"/>
  <c r="E12" i="51"/>
  <c r="D10"/>
  <c r="C71" i="54"/>
  <c r="C68"/>
  <c r="E8" i="52"/>
  <c r="I7" i="48"/>
  <c r="I6"/>
  <c r="I5"/>
  <c r="J5"/>
  <c r="I9"/>
  <c r="I8"/>
  <c r="L5"/>
  <c r="D8" i="52"/>
  <c r="C8"/>
  <c r="D11" i="10"/>
  <c r="E11" s="1"/>
  <c r="B12" s="1"/>
  <c r="M33" i="53" l="1"/>
  <c r="M34" s="1"/>
  <c r="M19" i="66"/>
  <c r="M22" s="1"/>
  <c r="M23" s="1"/>
  <c r="F33" i="53"/>
  <c r="F34" s="1"/>
  <c r="F19" i="66"/>
  <c r="F22" s="1"/>
  <c r="F23" s="1"/>
  <c r="I33" i="53"/>
  <c r="I34" s="1"/>
  <c r="I19" i="66"/>
  <c r="I22" s="1"/>
  <c r="I23" s="1"/>
  <c r="J33" i="53"/>
  <c r="J34" s="1"/>
  <c r="J19" i="66"/>
  <c r="J22" s="1"/>
  <c r="J23" s="1"/>
  <c r="K33" i="53"/>
  <c r="K34" s="1"/>
  <c r="K19" i="66"/>
  <c r="K22" s="1"/>
  <c r="K23" s="1"/>
  <c r="N33" i="53"/>
  <c r="N34" s="1"/>
  <c r="N19" i="66"/>
  <c r="N22" s="1"/>
  <c r="N23" s="1"/>
  <c r="L33" i="53"/>
  <c r="L34" s="1"/>
  <c r="L19" i="66"/>
  <c r="L22" s="1"/>
  <c r="L23" s="1"/>
  <c r="G33" i="53"/>
  <c r="G34" s="1"/>
  <c r="H33"/>
  <c r="H34" s="1"/>
  <c r="E22" i="66"/>
  <c r="E23" s="1"/>
  <c r="E24" s="1"/>
  <c r="F24" s="1"/>
  <c r="G24" s="1"/>
  <c r="H24" s="1"/>
  <c r="I24" s="1"/>
  <c r="J24" s="1"/>
  <c r="K24" s="1"/>
  <c r="L24" s="1"/>
  <c r="M24" s="1"/>
  <c r="N24" s="1"/>
  <c r="O19"/>
  <c r="O22" s="1"/>
  <c r="O23" s="1"/>
  <c r="O188" i="53"/>
  <c r="O191" s="1"/>
  <c r="E191"/>
  <c r="E192" s="1"/>
  <c r="E193" s="1"/>
  <c r="F35"/>
  <c r="F167" s="1"/>
  <c r="F175" s="1"/>
  <c r="O30"/>
  <c r="C75" i="54" s="1"/>
  <c r="F12" i="51"/>
  <c r="E10"/>
  <c r="F12" i="64"/>
  <c r="E18"/>
  <c r="F16" i="51"/>
  <c r="F42"/>
  <c r="D22" i="64"/>
  <c r="F8" i="52"/>
  <c r="J4"/>
  <c r="J6" s="1"/>
  <c r="K4"/>
  <c r="K6" s="1"/>
  <c r="I4"/>
  <c r="I6" s="1"/>
  <c r="L6" i="48"/>
  <c r="J6"/>
  <c r="I10"/>
  <c r="K5"/>
  <c r="D78" i="54" s="1"/>
  <c r="D12" i="10"/>
  <c r="E12" s="1"/>
  <c r="F182" i="53" l="1"/>
  <c r="O175"/>
  <c r="G35"/>
  <c r="E22" i="64"/>
  <c r="D23"/>
  <c r="G16" i="51"/>
  <c r="H42" s="1"/>
  <c r="G42"/>
  <c r="H7" i="2"/>
  <c r="I7" s="1"/>
  <c r="G12" i="64" s="1"/>
  <c r="G18" s="1"/>
  <c r="F18"/>
  <c r="G12" i="51"/>
  <c r="G10" s="1"/>
  <c r="F10"/>
  <c r="L4" i="52"/>
  <c r="L6"/>
  <c r="J7" i="48"/>
  <c r="K7" s="1"/>
  <c r="F78" i="54" s="1"/>
  <c r="F80" s="1"/>
  <c r="L7" i="48"/>
  <c r="K6"/>
  <c r="E78" i="54" s="1"/>
  <c r="E80" s="1"/>
  <c r="O182" i="53" l="1"/>
  <c r="O192" s="1"/>
  <c r="F192"/>
  <c r="F193" s="1"/>
  <c r="G193" s="1"/>
  <c r="H193" s="1"/>
  <c r="I193" s="1"/>
  <c r="J193" s="1"/>
  <c r="K193" s="1"/>
  <c r="L193" s="1"/>
  <c r="M193" s="1"/>
  <c r="N193" s="1"/>
  <c r="F22" i="64"/>
  <c r="E23"/>
  <c r="I54" i="51"/>
  <c r="J54"/>
  <c r="K54"/>
  <c r="M54"/>
  <c r="L54"/>
  <c r="J8" i="48"/>
  <c r="L8"/>
  <c r="G22" i="64" l="1"/>
  <c r="G23" s="1"/>
  <c r="F23"/>
  <c r="K8" i="48"/>
  <c r="G78" i="54" s="1"/>
  <c r="G80" s="1"/>
  <c r="J9" i="48"/>
  <c r="K9" s="1"/>
  <c r="H78" i="54" s="1"/>
  <c r="H80" s="1"/>
  <c r="L9" i="48"/>
  <c r="K10" l="1"/>
  <c r="K11" s="1"/>
  <c r="J10"/>
  <c r="J11" s="1"/>
  <c r="G17" i="51" l="1"/>
  <c r="G14" s="1"/>
  <c r="C17"/>
  <c r="C14" s="1"/>
  <c r="F17"/>
  <c r="F14" s="1"/>
  <c r="D17"/>
  <c r="D14" s="1"/>
  <c r="E17"/>
  <c r="E14" s="1"/>
  <c r="C5" i="48" l="1"/>
  <c r="H35" i="53"/>
  <c r="I35" s="1"/>
  <c r="J35" s="1"/>
  <c r="K35" s="1"/>
  <c r="L35" s="1"/>
  <c r="M35" s="1"/>
  <c r="N35" s="1"/>
  <c r="D5" i="48" l="1"/>
  <c r="H6" i="46"/>
  <c r="D5"/>
  <c r="D20" s="1"/>
  <c r="I5"/>
  <c r="D17" i="52"/>
  <c r="E15" s="1"/>
  <c r="D7" i="48" l="1"/>
  <c r="D6"/>
  <c r="C20" i="64"/>
  <c r="C23" s="1"/>
  <c r="C30" s="1"/>
  <c r="C26" i="63"/>
  <c r="D25" s="1"/>
  <c r="D29" s="1"/>
  <c r="D37" s="1"/>
  <c r="D38" s="1"/>
  <c r="C40" i="51"/>
  <c r="C49" s="1"/>
  <c r="C53" s="1"/>
  <c r="C54" s="1"/>
  <c r="C58" s="1"/>
  <c r="C59" s="1"/>
  <c r="C63" s="1"/>
  <c r="C64" s="1"/>
  <c r="I20" i="46"/>
  <c r="E16" i="52"/>
  <c r="E17" s="1"/>
  <c r="E5" i="48"/>
  <c r="C7" i="51"/>
  <c r="D77" i="54" l="1"/>
  <c r="F7" i="48"/>
  <c r="C6" i="51"/>
  <c r="D7"/>
  <c r="D80" i="54"/>
  <c r="O32" i="53"/>
  <c r="C9" i="51" l="1"/>
  <c r="C13"/>
  <c r="C18" s="1"/>
  <c r="C22" s="1"/>
  <c r="E7"/>
  <c r="D6"/>
  <c r="D9" s="1"/>
  <c r="D13" s="1"/>
  <c r="D18" s="1"/>
  <c r="O33" i="53"/>
  <c r="O34" s="1"/>
  <c r="C77" i="54"/>
  <c r="C80" s="1"/>
  <c r="C81" s="1"/>
  <c r="D58" s="1"/>
  <c r="D68" s="1"/>
  <c r="D81" s="1"/>
  <c r="D41" i="51" l="1"/>
  <c r="C23"/>
  <c r="D44" s="1"/>
  <c r="E6"/>
  <c r="E9" s="1"/>
  <c r="E13" s="1"/>
  <c r="E18" s="1"/>
  <c r="E22" s="1"/>
  <c r="F7"/>
  <c r="E58" i="54"/>
  <c r="E68" s="1"/>
  <c r="E81" s="1"/>
  <c r="F58" s="1"/>
  <c r="F68" s="1"/>
  <c r="F81" s="1"/>
  <c r="G58" s="1"/>
  <c r="G68" s="1"/>
  <c r="G81" s="1"/>
  <c r="H58" s="1"/>
  <c r="H68" s="1"/>
  <c r="H81" s="1"/>
  <c r="F12" i="48"/>
  <c r="C13" s="1"/>
  <c r="D13" s="1"/>
  <c r="E13" s="1"/>
  <c r="D22" i="51"/>
  <c r="C24" l="1"/>
  <c r="D45" s="1"/>
  <c r="F41"/>
  <c r="E41"/>
  <c r="G7"/>
  <c r="G6" s="1"/>
  <c r="G9" s="1"/>
  <c r="G13" s="1"/>
  <c r="G18" s="1"/>
  <c r="G22" s="1"/>
  <c r="F6"/>
  <c r="D23"/>
  <c r="E44" s="1"/>
  <c r="F9"/>
  <c r="F13" s="1"/>
  <c r="F18" s="1"/>
  <c r="F22" s="1"/>
  <c r="E23"/>
  <c r="F44" s="1"/>
  <c r="E24" l="1"/>
  <c r="D24"/>
  <c r="C25"/>
  <c r="C28" i="64" s="1"/>
  <c r="H41" i="51"/>
  <c r="G41"/>
  <c r="D49"/>
  <c r="D53" s="1"/>
  <c r="F23"/>
  <c r="G44" s="1"/>
  <c r="G23"/>
  <c r="H44" s="1"/>
  <c r="G24" l="1"/>
  <c r="F24"/>
  <c r="D54"/>
  <c r="D58"/>
  <c r="D59" s="1"/>
  <c r="D63" s="1"/>
  <c r="D64" s="1"/>
  <c r="F45"/>
  <c r="E25"/>
  <c r="E28" i="64" s="1"/>
  <c r="E29" s="1"/>
  <c r="E30" s="1"/>
  <c r="E45" i="51"/>
  <c r="D25"/>
  <c r="D28" i="64" l="1"/>
  <c r="D29" s="1"/>
  <c r="D30" s="1"/>
  <c r="E49" i="51"/>
  <c r="E53" s="1"/>
  <c r="F49"/>
  <c r="F53" s="1"/>
  <c r="F54" s="1"/>
  <c r="G45"/>
  <c r="F25"/>
  <c r="F28" i="64" s="1"/>
  <c r="F29" s="1"/>
  <c r="F30" s="1"/>
  <c r="H45" i="51"/>
  <c r="G25"/>
  <c r="G28" i="64" s="1"/>
  <c r="G29" s="1"/>
  <c r="G30" s="1"/>
  <c r="H49" i="51" l="1"/>
  <c r="H53" s="1"/>
  <c r="H58" s="1"/>
  <c r="H59" s="1"/>
  <c r="F58"/>
  <c r="F59" s="1"/>
  <c r="F63" s="1"/>
  <c r="F64" s="1"/>
  <c r="G49"/>
  <c r="E58"/>
  <c r="E59" s="1"/>
  <c r="E63" s="1"/>
  <c r="E64" s="1"/>
  <c r="E54"/>
  <c r="H54" l="1"/>
  <c r="G53"/>
  <c r="C163"/>
  <c r="H63"/>
  <c r="H64" s="1"/>
  <c r="G58" l="1"/>
  <c r="G59" s="1"/>
  <c r="G54"/>
  <c r="C55" s="1"/>
  <c r="G63" l="1"/>
  <c r="G64" s="1"/>
  <c r="C65" s="1"/>
  <c r="C60"/>
</calcChain>
</file>

<file path=xl/comments1.xml><?xml version="1.0" encoding="utf-8"?>
<comments xmlns="http://schemas.openxmlformats.org/spreadsheetml/2006/main">
  <authors>
    <author>Pc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 xml:space="preserve">TOTAL PRODUCCION LEGUMINOSAS 11638
 DIVIDIDO PARA 538 HOGARES (21 QUINTALES POR FAMILIA ) A UN COSTO DE VENTA 
  </t>
        </r>
      </text>
    </comment>
  </commentList>
</comments>
</file>

<file path=xl/sharedStrings.xml><?xml version="1.0" encoding="utf-8"?>
<sst xmlns="http://schemas.openxmlformats.org/spreadsheetml/2006/main" count="1953" uniqueCount="936">
  <si>
    <t>Concepto</t>
  </si>
  <si>
    <t>TOTAL</t>
  </si>
  <si>
    <t>Total</t>
  </si>
  <si>
    <t>CONCEPTO</t>
  </si>
  <si>
    <t>VALOR INICIAL</t>
  </si>
  <si>
    <t>VIDA UTIL EN AÑOS</t>
  </si>
  <si>
    <t>ALICUOTA ANUAL</t>
  </si>
  <si>
    <t>DEPRECIACIONES</t>
  </si>
  <si>
    <t>Equipo de computación</t>
  </si>
  <si>
    <t xml:space="preserve">Muebles y enseres </t>
  </si>
  <si>
    <t>Equipo de oficina</t>
  </si>
  <si>
    <t>TOTAL DEPRECIACIONES</t>
  </si>
  <si>
    <t>AMORTIZACIONES</t>
  </si>
  <si>
    <t>Infraestructura</t>
  </si>
  <si>
    <t>Equipo y maquinaria</t>
  </si>
  <si>
    <t>DESCRIPCION</t>
  </si>
  <si>
    <t>CANTIDAD</t>
  </si>
  <si>
    <t>COSTO UNITARIO</t>
  </si>
  <si>
    <t>IVA</t>
  </si>
  <si>
    <t>COSTO TOTAL</t>
  </si>
  <si>
    <t>SUBTOTAL</t>
  </si>
  <si>
    <t>Imprevistos 3%</t>
  </si>
  <si>
    <t>Descripción</t>
  </si>
  <si>
    <t>Cantidad</t>
  </si>
  <si>
    <t>Costo unitario</t>
  </si>
  <si>
    <t>Sub total</t>
  </si>
  <si>
    <t>Telefono  fax</t>
  </si>
  <si>
    <t>Calculadora</t>
  </si>
  <si>
    <t>Sub Total</t>
  </si>
  <si>
    <t>Muebles y enseres</t>
  </si>
  <si>
    <t>Costo Unitario</t>
  </si>
  <si>
    <t>Archivador oficina</t>
  </si>
  <si>
    <t>Sillas plasticas</t>
  </si>
  <si>
    <t>Escritorio gerente</t>
  </si>
  <si>
    <t>Escritorio secretaria</t>
  </si>
  <si>
    <t>Silla gerente</t>
  </si>
  <si>
    <t>Silla secretaria</t>
  </si>
  <si>
    <t>AÑO 1</t>
  </si>
  <si>
    <t>AÑO 2</t>
  </si>
  <si>
    <t>AÑO 3</t>
  </si>
  <si>
    <t>AÑO 4</t>
  </si>
  <si>
    <t>AÑO 5</t>
  </si>
  <si>
    <t>Aporte Patronal</t>
  </si>
  <si>
    <t>Fondos de Reserva</t>
  </si>
  <si>
    <t>Décimo Tercero</t>
  </si>
  <si>
    <t>Décimo  Cuarto</t>
  </si>
  <si>
    <t>Salario Básico 300 mensual</t>
  </si>
  <si>
    <t>Resumen Sueldos y Salarios</t>
  </si>
  <si>
    <t>Año 1</t>
  </si>
  <si>
    <t>Año 2</t>
  </si>
  <si>
    <t>Año 3</t>
  </si>
  <si>
    <t>Año 4</t>
  </si>
  <si>
    <t>Año 5</t>
  </si>
  <si>
    <t>Año 6</t>
  </si>
  <si>
    <t>Secretaria</t>
  </si>
  <si>
    <t>Total Sueldos</t>
  </si>
  <si>
    <t>CARROS DE CARGA</t>
  </si>
  <si>
    <t xml:space="preserve">TOTAL </t>
  </si>
  <si>
    <t>SERVICIOS BASICOS</t>
  </si>
  <si>
    <t>MANTENIMIENTOS</t>
  </si>
  <si>
    <t>%  DE DEPRECIACIONES Y AMORTIZACION</t>
  </si>
  <si>
    <t>IMPRESORA</t>
  </si>
  <si>
    <t>COMPUTADORA DONADA POR LA COAC "HUAYCO PUNGO"</t>
  </si>
  <si>
    <t>SECRETARIA CONTADORA</t>
  </si>
  <si>
    <t xml:space="preserve">DEMANDA ACTUAL </t>
  </si>
  <si>
    <t>POBLACION</t>
  </si>
  <si>
    <t>DEMANDA ACTUAL</t>
  </si>
  <si>
    <t>URCUQUI</t>
  </si>
  <si>
    <t>SECTOR</t>
  </si>
  <si>
    <t>IBARRA</t>
  </si>
  <si>
    <t>HOGARES</t>
  </si>
  <si>
    <t>#  MIEMBROS DE UN HOGAR</t>
  </si>
  <si>
    <t>FUENTE SIISE 4.5</t>
  </si>
  <si>
    <t xml:space="preserve">ELABORADO POR: MOROCHO VERONICA, VACA MONICA </t>
  </si>
  <si>
    <t xml:space="preserve">CANASTA BASICA FAMILIAR </t>
  </si>
  <si>
    <t>REGION SIERRA</t>
  </si>
  <si>
    <t>PRODUCTO</t>
  </si>
  <si>
    <t>LEGUMINOSAS Y DERIVADOS</t>
  </si>
  <si>
    <t xml:space="preserve"> </t>
  </si>
  <si>
    <t>FUENTE INEC 2011</t>
  </si>
  <si>
    <t>PROYECCION DE LA DEMANDA  FUTURA</t>
  </si>
  <si>
    <t>AÑO</t>
  </si>
  <si>
    <t>DEMANDA</t>
  </si>
  <si>
    <t>T. C .P</t>
  </si>
  <si>
    <t>DEMANDA PROYECTADA</t>
  </si>
  <si>
    <t>DONADO UTN</t>
  </si>
  <si>
    <t>TOTAL EROGACIONES DE EFECTIVO</t>
  </si>
  <si>
    <t>FUENTE INVESTIGACION DE CAMPO</t>
  </si>
  <si>
    <t xml:space="preserve">DESTINO SECTOR AGRICOLA </t>
  </si>
  <si>
    <t>PLAZO</t>
  </si>
  <si>
    <t>PERIODO DE GRACIA</t>
  </si>
  <si>
    <t xml:space="preserve">Formacion  de cultivos de ciclo corto </t>
  </si>
  <si>
    <t>Formacion  de cultivos semipermamentes</t>
  </si>
  <si>
    <t>Formacion  de cultivos permanentes</t>
  </si>
  <si>
    <t>Mantenimiento de Cultivos permanetes o semi permanentes</t>
  </si>
  <si>
    <t>Construccion, mejoras territoriales obras de infraestructura adecuaciones e instalaciones nuevas  o usadas</t>
  </si>
  <si>
    <t>Hasta 1 año</t>
  </si>
  <si>
    <t>Hasta 6 años</t>
  </si>
  <si>
    <t>Hasta 10 años</t>
  </si>
  <si>
    <t>Hasta 2 años</t>
  </si>
  <si>
    <t>Sin periodo de gracia</t>
  </si>
  <si>
    <t>Hasta 3 años</t>
  </si>
  <si>
    <t>TASA DE INTERES</t>
  </si>
  <si>
    <t>PRODUCCION CICLO CORTO</t>
  </si>
  <si>
    <t>EL MARGEN DE REAJUSTE DURANTE EL PERIODO DE CREDITO SERA DE 1.33 PUNTO SOBRE LA TASA ACTIVA EFECTIVA REFERENCIAL PRODUCTIVO DEL BCE VIGENTE EN LA SEMANA DEL REAJUSTE</t>
  </si>
  <si>
    <t>FUENTE : BANCO NACIONAL DE FOMENTO</t>
  </si>
  <si>
    <t>CREDITO AGRICOLA</t>
  </si>
  <si>
    <t>Lider Santa Clara del Tablon</t>
  </si>
  <si>
    <t>Lider Iruguincho</t>
  </si>
  <si>
    <t>Lider  Pisangacho</t>
  </si>
  <si>
    <t>Luis Muenala</t>
  </si>
  <si>
    <t>Narcisa Tituaña</t>
  </si>
  <si>
    <t>LISTA SOCIOS FUNDADORES</t>
  </si>
  <si>
    <t>Manuel de La Cruz</t>
  </si>
  <si>
    <t>Maria Muenala</t>
  </si>
  <si>
    <t>Teresa Pijal</t>
  </si>
  <si>
    <t>Enrique Cuascota</t>
  </si>
  <si>
    <t>Jose Tocagon</t>
  </si>
  <si>
    <t>Carlos Lara</t>
  </si>
  <si>
    <t>Victor Escanta</t>
  </si>
  <si>
    <t>Blanca Perugachi</t>
  </si>
  <si>
    <t>Maria Tituaña</t>
  </si>
  <si>
    <t>Juan Gualacata</t>
  </si>
  <si>
    <t>Jose Quilsimba</t>
  </si>
  <si>
    <t>Mercedes Ibadango</t>
  </si>
  <si>
    <t>Pedro de la Torre</t>
  </si>
  <si>
    <t>CENTRO DE ACOPIO</t>
  </si>
  <si>
    <t>AHORRO</t>
  </si>
  <si>
    <t>MONTO</t>
  </si>
  <si>
    <t>INTERES</t>
  </si>
  <si>
    <t>Banco</t>
  </si>
  <si>
    <t>ACTIVO FIJO</t>
  </si>
  <si>
    <t>Terrenos</t>
  </si>
  <si>
    <t>TOTAL ACTIVOS</t>
  </si>
  <si>
    <t>Ahorros Socios</t>
  </si>
  <si>
    <t>Donaciones</t>
  </si>
  <si>
    <t>DESCRIPCIÓN</t>
  </si>
  <si>
    <t>INGRESOS</t>
  </si>
  <si>
    <t>TOTAL EGRESOS</t>
  </si>
  <si>
    <t>X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</si>
  <si>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</si>
  <si>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</si>
  <si>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</si>
  <si>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</si>
  <si>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</si>
  <si>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</si>
  <si>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</si>
  <si>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</si>
  <si>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</si>
  <si>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</si>
  <si>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</si>
  <si>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 xml:space="preserve"> DICIEMBRE</t>
  </si>
  <si>
    <t>EFECTIVO INICIAL</t>
  </si>
  <si>
    <t>TOTAL DE INGRESOS</t>
  </si>
  <si>
    <t>EGRESOS</t>
  </si>
  <si>
    <t>suman</t>
  </si>
  <si>
    <t>EFECTIVO AL FINAL DEL PERIODO</t>
  </si>
  <si>
    <t>%</t>
  </si>
  <si>
    <t>INVERSION</t>
  </si>
  <si>
    <t>Año 0</t>
  </si>
  <si>
    <t>(+) DEPRECIACION</t>
  </si>
  <si>
    <t>(-) REINVERSION</t>
  </si>
  <si>
    <r>
      <t xml:space="preserve">(-) </t>
    </r>
    <r>
      <rPr>
        <sz val="8"/>
        <color rgb="FF000000"/>
        <rFont val="Calibri"/>
        <family val="2"/>
      </rPr>
      <t>PARTICIPACION TRABAJADORES</t>
    </r>
  </si>
  <si>
    <t>(-) IMPUESTO A LA RENTA</t>
  </si>
  <si>
    <t>(+) VENTA DE ACTIVOS</t>
  </si>
  <si>
    <t>FLUJO NETO</t>
  </si>
  <si>
    <t>VALOR CANASTA BASICA</t>
  </si>
  <si>
    <t>COSTO DE GASTO EN DOLARES DESTINADO A LEGUMINOSAS Y DERIVADOS</t>
  </si>
  <si>
    <t>VALOR EN DOLARES PARA ALIMENTOS CANASTA BASICA</t>
  </si>
  <si>
    <t>Oficina Contabilidad</t>
  </si>
  <si>
    <t>DISTRIBUCION</t>
  </si>
  <si>
    <t>AREA</t>
  </si>
  <si>
    <t xml:space="preserve">Recepcion </t>
  </si>
  <si>
    <t>Sanitarios</t>
  </si>
  <si>
    <r>
      <t>m</t>
    </r>
    <r>
      <rPr>
        <vertAlign val="superscript"/>
        <sz val="10"/>
        <rFont val="Arial"/>
        <family val="2"/>
      </rPr>
      <t>2</t>
    </r>
  </si>
  <si>
    <t>Area de Acopio</t>
  </si>
  <si>
    <t>TOTAL PARA UN MES</t>
  </si>
  <si>
    <t>SUMINISTROS DE OFICINA</t>
  </si>
  <si>
    <t>INVERSIÓN FIJA</t>
  </si>
  <si>
    <t>PRESUPUESTO REFERENCIAL PARA LA CONSTRUCCIÓN DE OBRAS CIVILES</t>
  </si>
  <si>
    <t>PROYECTO: CENTRO DE ACOPIO Y FONDO COOPERATIVO</t>
  </si>
  <si>
    <t>UBICACION : SAN BLAS</t>
  </si>
  <si>
    <t>FECHA :24/Mayo/2011</t>
  </si>
  <si>
    <t>PRESUPUESTO REFERENCIAL</t>
  </si>
  <si>
    <t>CODIGO</t>
  </si>
  <si>
    <t>UNIDAD</t>
  </si>
  <si>
    <t>P.UNITARIO</t>
  </si>
  <si>
    <t/>
  </si>
  <si>
    <t>PRELIMINARES</t>
  </si>
  <si>
    <t>504240</t>
  </si>
  <si>
    <t>REPLANTEO Y NIVELACION</t>
  </si>
  <si>
    <t>m2</t>
  </si>
  <si>
    <t>500048</t>
  </si>
  <si>
    <t>EXCAVACION A CIELO ABIERTO A MANO EN TIERRA</t>
  </si>
  <si>
    <t>m3</t>
  </si>
  <si>
    <t>504250</t>
  </si>
  <si>
    <t>DESALOJO DE MATERIAL</t>
  </si>
  <si>
    <t>ESTRUCTURA</t>
  </si>
  <si>
    <t>504258</t>
  </si>
  <si>
    <t>REPLANTILLO H.S. 140 KG/CM2</t>
  </si>
  <si>
    <t>500218</t>
  </si>
  <si>
    <t>HORMIGON CICLOPEO  40% PIEDRA F'C=210 KG/CM2</t>
  </si>
  <si>
    <t>506473</t>
  </si>
  <si>
    <t>ACERO DE REFUERZO</t>
  </si>
  <si>
    <t>kg</t>
  </si>
  <si>
    <t>500214</t>
  </si>
  <si>
    <t>HORMIGON SIMPLE F'C=210KG/CM2</t>
  </si>
  <si>
    <t>504815</t>
  </si>
  <si>
    <t>PLACA DE ACERO ASTM A36 20 X20X0.8</t>
  </si>
  <si>
    <t>u</t>
  </si>
  <si>
    <t>502849</t>
  </si>
  <si>
    <t>ESTRUCTURA METALICA (PROVISION Y MONTAJE)</t>
  </si>
  <si>
    <t>CONTRAPISOS</t>
  </si>
  <si>
    <t>502650</t>
  </si>
  <si>
    <t>CONTRAPISO HORMIGON SIMPLE FC=180KG/CM2 E=0.08CM
(INC.  PIEDRA BOLA E=15CM)</t>
  </si>
  <si>
    <t>510191</t>
  </si>
  <si>
    <t>MASILLADO PALETEADO GRUESO</t>
  </si>
  <si>
    <t>MAMPOSTERIA</t>
  </si>
  <si>
    <t>500309</t>
  </si>
  <si>
    <t>MAMPOSTERIA DE BLOQUE ALIVIANADO E=15 CM</t>
  </si>
  <si>
    <t>RECUBRIMIENTOS</t>
  </si>
  <si>
    <t>507229</t>
  </si>
  <si>
    <t>ENLUCIDO VERTICAL MORTERO 1:3</t>
  </si>
  <si>
    <t>500630</t>
  </si>
  <si>
    <t>PINTURA LATEX (PRIMERA CALIDAD)</t>
  </si>
  <si>
    <t>507321</t>
  </si>
  <si>
    <t>CERAMICA DE PISO 40*40 CM ANTIDESLIZANTE</t>
  </si>
  <si>
    <t>507998</t>
  </si>
  <si>
    <t>CERAMICA DE PARED COLOR SUAVE</t>
  </si>
  <si>
    <t>503058</t>
  </si>
  <si>
    <t>CUBIERTA ETERNIT (SIN ESTRUCTURA)</t>
  </si>
  <si>
    <t>506516</t>
  </si>
  <si>
    <t>CUMBRERO DE FIBROCEMENTO</t>
  </si>
  <si>
    <t>m</t>
  </si>
  <si>
    <t>510220</t>
  </si>
  <si>
    <t>POLICARBONATO - PLANCHA TRANSLUCIDA (SIN ESTRUCTURA)</t>
  </si>
  <si>
    <t>CARPINTERIA MADERA Y METAL MECANICA</t>
  </si>
  <si>
    <t>500425</t>
  </si>
  <si>
    <t>VENTANA DE HIERRO CON VIDRIO 4MM (PROVISION Y MONTAJE)</t>
  </si>
  <si>
    <t>510197</t>
  </si>
  <si>
    <t>PUERTA DE HIERRO</t>
  </si>
  <si>
    <t>504434</t>
  </si>
  <si>
    <t>PUERTA PANELADA DE LAUREL 0.70M</t>
  </si>
  <si>
    <t>504436</t>
  </si>
  <si>
    <t>PUERTA PANELADA DE LAUREL 0.90M</t>
  </si>
  <si>
    <t>INSTALACIONES SANITARIAS</t>
  </si>
  <si>
    <t>504461</t>
  </si>
  <si>
    <t>DESAGUE PVC 110MM</t>
  </si>
  <si>
    <t>pt</t>
  </si>
  <si>
    <t>504459</t>
  </si>
  <si>
    <t>DESAGUE PVC 50MM</t>
  </si>
  <si>
    <t>502459</t>
  </si>
  <si>
    <t>TUBERIA PVC 110MM DESAGUE (MAT/TRAN/INST)</t>
  </si>
  <si>
    <t>502457</t>
  </si>
  <si>
    <t>TUBERIA PVC 50MM DESAGUE (MAT/TRAN/INST)</t>
  </si>
  <si>
    <t>502458</t>
  </si>
  <si>
    <t>TUBERIA PVC 75MM DESAGUE (MAT/TRAN/INST)</t>
  </si>
  <si>
    <t>507307</t>
  </si>
  <si>
    <t>REJILLA CROMADA 50MM</t>
  </si>
  <si>
    <t>502377</t>
  </si>
  <si>
    <t>TUBERIA HORMIGON SIMPLE CL2 150MM (MAT.TRAN.INST)</t>
  </si>
  <si>
    <t>504463</t>
  </si>
  <si>
    <t>CAJA DE REVISION (0.60X0.60X0.60)</t>
  </si>
  <si>
    <t>508754</t>
  </si>
  <si>
    <t>CANAL DE AGUA LLUVIAS DE TOL E= 1,4 MM</t>
  </si>
  <si>
    <t>INSTALACIONES DE AGUA POTABLE</t>
  </si>
  <si>
    <t>502889</t>
  </si>
  <si>
    <t>PUNTO DE AGUA POTABLE 1/2"</t>
  </si>
  <si>
    <t>pto</t>
  </si>
  <si>
    <t>505026</t>
  </si>
  <si>
    <t>ACOMETIDA DOMICILIARIA AGUA POTABLE</t>
  </si>
  <si>
    <t>507143</t>
  </si>
  <si>
    <t>LLAVE DE PASO 1/2"</t>
  </si>
  <si>
    <t>510189</t>
  </si>
  <si>
    <t>MEDIDOR DE AGUA POTABLE DE 3/4"</t>
  </si>
  <si>
    <t>507427</t>
  </si>
  <si>
    <t>LLAVE DE MANGUERA DE BRONCE TIPO FV D=1/2"</t>
  </si>
  <si>
    <t>APARATOS SANITARIOS</t>
  </si>
  <si>
    <t>506967</t>
  </si>
  <si>
    <t>INODORO TANQUE BAJO TIPO SAVEX</t>
  </si>
  <si>
    <t>507458</t>
  </si>
  <si>
    <t>LAVAMANOS BLANCO (TIPO SHELBY) SIN GRIFERIA</t>
  </si>
  <si>
    <t>507697</t>
  </si>
  <si>
    <t>GRIFERIA LAVAMANOS 1 LL TIPO FV 22210/75</t>
  </si>
  <si>
    <t>INSTALACIONES ELECTRICAS</t>
  </si>
  <si>
    <t>503115</t>
  </si>
  <si>
    <t>ILUMINACION CON CABLE SOLIDO #12 Y MANGUERA</t>
  </si>
  <si>
    <t>507201</t>
  </si>
  <si>
    <t>TOMACORRIENTE DOBLE</t>
  </si>
  <si>
    <t>507282</t>
  </si>
  <si>
    <t>TABLERO DE DISTRIBUCION 4 A 8 PTOS</t>
  </si>
  <si>
    <t xml:space="preserve">TOTAL: </t>
  </si>
  <si>
    <t>SON :MIL OCHOCIENTOS SETENTA Y DOS dolares CINCUENTA centavos</t>
  </si>
  <si>
    <t>FUENTE: OBSERVACIÓN DIRECTA</t>
  </si>
  <si>
    <t xml:space="preserve">VENTA DE LEGUMINOSAS </t>
  </si>
  <si>
    <t>ALIMENTACION</t>
  </si>
  <si>
    <t>EDUCACION</t>
  </si>
  <si>
    <t>VESTIDO</t>
  </si>
  <si>
    <t>SALUD</t>
  </si>
  <si>
    <t>VIVIENDA</t>
  </si>
  <si>
    <t>INSUMOS AGRICOLAS</t>
  </si>
  <si>
    <t>GASTOS DE SIEMBRA</t>
  </si>
  <si>
    <t>GASTOS DE COSECHA</t>
  </si>
  <si>
    <t>PAGO DE  INTERESES DE PRESTAMOS  INFORMALES</t>
  </si>
  <si>
    <t>CUADRO PRECIO DE VENTA EN QUINTALES</t>
  </si>
  <si>
    <t>CULTIVO</t>
  </si>
  <si>
    <t>PRECIO PROMEDIO QUINTALES  AGRICULTOR</t>
  </si>
  <si>
    <t>PRECIO PROMEDIO QUINTALES INTERMEDIARIO</t>
  </si>
  <si>
    <t>PRECIO PROMEDIO QUINTALES MAYORISTA</t>
  </si>
  <si>
    <t>PRECIO PROMEDIO QUINTALES MINORISTA</t>
  </si>
  <si>
    <t>PRECIO PROMEDIO QUINTALES CONSUMIDOR FINAL</t>
  </si>
  <si>
    <t>CEBADA</t>
  </si>
  <si>
    <t>FREJOL TIERNO</t>
  </si>
  <si>
    <t>MAIZ CHOCLO</t>
  </si>
  <si>
    <t>QUINUA</t>
  </si>
  <si>
    <t>TRIGO</t>
  </si>
  <si>
    <t>* EL TRIGO ES EN GRANO</t>
  </si>
  <si>
    <t>ELABORADO POR: MOROCHO VERONICA, VACA MONICA</t>
  </si>
  <si>
    <t>OTROS INGRESOS JORNALERIA</t>
  </si>
  <si>
    <t>TRANSPORTE COMERCIALIZACION</t>
  </si>
  <si>
    <t>$100</t>
  </si>
  <si>
    <t>$200</t>
  </si>
  <si>
    <t>$300</t>
  </si>
  <si>
    <t>HECTAREAS   CULTIVABLES</t>
  </si>
  <si>
    <t>QUINTALES DE MAIZ CHOCLO</t>
  </si>
  <si>
    <t xml:space="preserve">QUINTALES DE FREJOL </t>
  </si>
  <si>
    <t>INVIERNO 2009</t>
  </si>
  <si>
    <t>TECNIFICADO </t>
  </si>
  <si>
    <t>ECUAQUÍMICA</t>
  </si>
  <si>
    <t>Semilla</t>
  </si>
  <si>
    <t>Fertilizante</t>
  </si>
  <si>
    <t>Fitosanitarios</t>
  </si>
  <si>
    <t>Maquinaria-equipos-materiales-transporte</t>
  </si>
  <si>
    <r>
      <t xml:space="preserve">Total Costos Directos </t>
    </r>
    <r>
      <rPr>
        <i/>
        <sz val="10"/>
        <rFont val="Arial"/>
        <family val="2"/>
      </rPr>
      <t>(Ha)</t>
    </r>
  </si>
  <si>
    <t>Costos Financieros (14% anual, 6 meses)</t>
  </si>
  <si>
    <t>Costos Administrativos (5% por ciclo)</t>
  </si>
  <si>
    <t>Alquiler de la tierra</t>
  </si>
  <si>
    <t>Total costos de producción (Ha)</t>
  </si>
  <si>
    <t>Rendimiento Húmedo y Sucio (1) (QQ/Ha)</t>
  </si>
  <si>
    <t>Costo por quintal Húmedo y Sucio (Usd/qq) (2)</t>
  </si>
  <si>
    <t>1/ Se toma en cuenta una humedad de 24% e impureza 5%</t>
  </si>
  <si>
    <t>2/ No se considera costo de procesamiento, ni transporte finca a centro de acopio, ni margen de utilidad</t>
  </si>
  <si>
    <t>http://www.magap.gob.ec/sigagro/index.php?option=com_wrapper&amp;view=wrapper&amp;Itemid=97</t>
  </si>
  <si>
    <t>Maíz</t>
  </si>
  <si>
    <t>Frejol</t>
  </si>
  <si>
    <t>Siembra</t>
  </si>
  <si>
    <t>Cosecha</t>
  </si>
  <si>
    <t>sep-nov</t>
  </si>
  <si>
    <t>dic-mar</t>
  </si>
  <si>
    <t>sep-oct</t>
  </si>
  <si>
    <t>feb -mar</t>
  </si>
  <si>
    <t>rotación</t>
  </si>
  <si>
    <t>SUB TOTAL EGRESOS</t>
  </si>
  <si>
    <t>PAGO CAPITAL DEUDA</t>
  </si>
  <si>
    <t>PAGO INTERESES DEUDA</t>
  </si>
  <si>
    <t>SALDO</t>
  </si>
  <si>
    <t>Mano de obra</t>
  </si>
  <si>
    <t>Fitozanitario</t>
  </si>
  <si>
    <t>SIEMBRA</t>
  </si>
  <si>
    <t>COSECHA</t>
  </si>
  <si>
    <t>Limpia</t>
  </si>
  <si>
    <t>TOTAL GASTOS DE SIEMBRA</t>
  </si>
  <si>
    <t>TOTAL GASTOS COSECHA</t>
  </si>
  <si>
    <t>SUB TOTAL GASTOS ACT. ECONÓMICA</t>
  </si>
  <si>
    <t>SALDO ACUMULADO</t>
  </si>
  <si>
    <t>Preparación tierra</t>
  </si>
  <si>
    <t>Precio quintal</t>
  </si>
  <si>
    <t>MONTO DEUDA</t>
  </si>
  <si>
    <t>OTROS INGRESOS DEUDA</t>
  </si>
  <si>
    <t>Trasporte,  comercialización, materiales</t>
  </si>
  <si>
    <t>FEB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</si>
  <si>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</si>
  <si>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</si>
  <si>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</si>
  <si>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</si>
  <si>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</si>
  <si>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</si>
  <si>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</si>
  <si>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</si>
  <si>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</si>
  <si>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</si>
  <si>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</si>
  <si>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CAPACIDAD DE AHORRO </t>
  </si>
  <si>
    <t>ANUAL</t>
  </si>
  <si>
    <t>FAMILIAS</t>
  </si>
  <si>
    <t xml:space="preserve">AHORRO </t>
  </si>
  <si>
    <t>APORTE SOCIOS CERTIFICADOS DE APORTACION</t>
  </si>
  <si>
    <t xml:space="preserve">CREDITOS EMERGENTES </t>
  </si>
  <si>
    <t>CREDITOS AGRICOLAS</t>
  </si>
  <si>
    <t>RETIROS AHORROS</t>
  </si>
  <si>
    <t>INTERESES  CREDITOS</t>
  </si>
  <si>
    <t>RECUPERACION CAPITAL</t>
  </si>
  <si>
    <t>INTERESES EN MORA</t>
  </si>
  <si>
    <t>CREDITO FOMENTO</t>
  </si>
  <si>
    <t>PRECIO</t>
  </si>
  <si>
    <t>PORCENTAJE</t>
  </si>
  <si>
    <t>QUINTALES AL AÑO</t>
  </si>
  <si>
    <t>PEA FAMILIAS</t>
  </si>
  <si>
    <t xml:space="preserve">NECESIDAD DE CREDITO </t>
  </si>
  <si>
    <t>DATOS PARA ELABORACION DE FLUJO</t>
  </si>
  <si>
    <t>ELABORADO MOROCHO VERONICA, VACA MONICA</t>
  </si>
  <si>
    <t>TOTAL PRODUCCION  ANUAL</t>
  </si>
  <si>
    <t>completar su produccion</t>
  </si>
  <si>
    <t>Considerando la alta tasa de interes el agricultor opera con el capital</t>
  </si>
  <si>
    <t>Al final del año tiene una capacidad de ahorro de $35.65 ctvs</t>
  </si>
  <si>
    <t>El Transporte y la Comercializacion se establecio de la  investigacion</t>
  </si>
  <si>
    <t xml:space="preserve">El sustento del proyecto esta dado en  que el 94% del total de la </t>
  </si>
  <si>
    <t>produccion de la zona actualmente  se destina para el consmo familiar</t>
  </si>
  <si>
    <t>siendo esta  la capacidad de ahorro que en dolares representa</t>
  </si>
  <si>
    <t>DISTRIBUCION PODUCCION</t>
  </si>
  <si>
    <t>FREJOL 69%</t>
  </si>
  <si>
    <t>MAIZ 31%</t>
  </si>
  <si>
    <t>Hay que resaltar que este ahorro esta dado por toda la zona del pro_</t>
  </si>
  <si>
    <t>yecto, sin embargo  solo el 66% requiere creditos informales llegando</t>
  </si>
  <si>
    <t xml:space="preserve">a ser este nuestro mercado-meta. Teniendo una capacidad de ahorro </t>
  </si>
  <si>
    <t>en dolares de $</t>
  </si>
  <si>
    <t xml:space="preserve">anual </t>
  </si>
  <si>
    <t xml:space="preserve">La producción  es de  11638 Quintales con una rotacion de cultivos de </t>
  </si>
  <si>
    <t>2 por año intercalados  entre maiz y frejol</t>
  </si>
  <si>
    <t xml:space="preserve">Se determino que   la poblacion del proyecto son 358 hogares los </t>
  </si>
  <si>
    <t xml:space="preserve">cuales producen 32 quintales al año por  familia </t>
  </si>
  <si>
    <t xml:space="preserve">Los creditos que requiere el agricultor estan dados en los meses de </t>
  </si>
  <si>
    <t xml:space="preserve">siembra de acuerdo a la investigaion de campo </t>
  </si>
  <si>
    <t>El pago de  interes de la deuda esta  a una tasa del 10% mensual  que</t>
  </si>
  <si>
    <t>es la que actualmente estan cobrando los usureros</t>
  </si>
  <si>
    <t xml:space="preserve">Los gastos de siembra y cosecha se establecen. de acuerdo a la </t>
  </si>
  <si>
    <t>investigacion de campo  y al anexo Nº 12 informacion MAGAP</t>
  </si>
  <si>
    <t xml:space="preserve">aportado por el credito informal logra cubrir sus obligaciones    y </t>
  </si>
  <si>
    <t>considerando una produccion de 16 quintales al semestre a los precios</t>
  </si>
  <si>
    <t xml:space="preserve">establecio actualmente a los agricultores por los intermediarios </t>
  </si>
  <si>
    <t>de campo  y de acuerdo a datos  del MAGAP</t>
  </si>
  <si>
    <t xml:space="preserve">Hay que resaltare que los agricultores poseen tambien otra fuente  de </t>
  </si>
  <si>
    <t>un rubro fijo</t>
  </si>
  <si>
    <t xml:space="preserve">de obras o de haciendas, la misma que es esporadica y no representa </t>
  </si>
  <si>
    <t>NOTAS ACLARATORIAS</t>
  </si>
  <si>
    <t>ANEXO 9 FLUJO  DE CAJA  POR AGRICULTOR  AL AÑO   DE ACUERDO A LA PRODUCCION</t>
  </si>
  <si>
    <t>PRODUCCION  VENTA</t>
  </si>
  <si>
    <t>ingresos no relacionada a su actividad como es la  de jornaleros ya sea</t>
  </si>
  <si>
    <t>GASTOS SIEMBRA</t>
  </si>
  <si>
    <t>GASTOS COSECHA</t>
  </si>
  <si>
    <t>flujo a precio de venta pagado por intermediario</t>
  </si>
  <si>
    <t>Flujo a precio de venta pagado por mayorista</t>
  </si>
  <si>
    <t>Flujo a precio de venta pagado por minorista</t>
  </si>
  <si>
    <t>Flujo a precio de venta pagado por cons. Final</t>
  </si>
  <si>
    <t>Total egresos</t>
  </si>
  <si>
    <t>Saldo</t>
  </si>
  <si>
    <t>Saldo acumulado</t>
  </si>
  <si>
    <t>ACTIVO CORRIENTE</t>
  </si>
  <si>
    <t>Disponible</t>
  </si>
  <si>
    <t>Caja</t>
  </si>
  <si>
    <t>Cuentas por cobrar</t>
  </si>
  <si>
    <t>Prod. Terminado</t>
  </si>
  <si>
    <t>Mat. Suministros</t>
  </si>
  <si>
    <t>Equipos de Oficina</t>
  </si>
  <si>
    <t>Pasivo Largo Plazo</t>
  </si>
  <si>
    <t>PERIODO</t>
  </si>
  <si>
    <t>CAPITAL</t>
  </si>
  <si>
    <t>SALDO INSOLUTO</t>
  </si>
  <si>
    <t>TASA</t>
  </si>
  <si>
    <t>ALICUOTA</t>
  </si>
  <si>
    <t>Equipo computación</t>
  </si>
  <si>
    <t>INTERESES CAUSADOS</t>
  </si>
  <si>
    <t>COMISIONES CAUSADAS</t>
  </si>
  <si>
    <t>PROVISIONES</t>
  </si>
  <si>
    <t>OTROS GASTOS</t>
  </si>
  <si>
    <t>DONACIONES</t>
  </si>
  <si>
    <t>INTERESES Y DESCUENTOS GANADOS</t>
  </si>
  <si>
    <t>COMISIONES GANADAS</t>
  </si>
  <si>
    <t>AÑO 6</t>
  </si>
  <si>
    <t>AÑO 7</t>
  </si>
  <si>
    <t>AÑO 8</t>
  </si>
  <si>
    <t>AÑO 9</t>
  </si>
  <si>
    <t>AÑO 10</t>
  </si>
  <si>
    <t>van</t>
  </si>
  <si>
    <t>tir</t>
  </si>
  <si>
    <t>CAPITAL PROPIO</t>
  </si>
  <si>
    <t>DEUDA</t>
  </si>
  <si>
    <t>Capital propio</t>
  </si>
  <si>
    <t>Deuda</t>
  </si>
  <si>
    <t>Porcentaje</t>
  </si>
  <si>
    <t>Costo</t>
  </si>
  <si>
    <t>Ponderación</t>
  </si>
  <si>
    <t>Flujo</t>
  </si>
  <si>
    <t>Flujos actualizados</t>
  </si>
  <si>
    <t>Suma</t>
  </si>
  <si>
    <t>Año</t>
  </si>
  <si>
    <t>TCP</t>
  </si>
  <si>
    <t>DEMANDA ESTIMADA</t>
  </si>
  <si>
    <t xml:space="preserve">INGRESOS FINANCIEROS </t>
  </si>
  <si>
    <t>EGRESOS FINANCIEROS</t>
  </si>
  <si>
    <t>MARGEN BRUTO FINANCIERO</t>
  </si>
  <si>
    <t>OTROS INGRESOS Y GASTOS OPERACIONALES</t>
  </si>
  <si>
    <t xml:space="preserve">OTROS INGRESOS </t>
  </si>
  <si>
    <t>GASTOS OPERACIONALES</t>
  </si>
  <si>
    <t>MARGEN OPERACIONAL ANTES DE PROVISIONES DEPRECIACIONES Y AMORTIZACIONES</t>
  </si>
  <si>
    <t>PROVISIONES, DEPRECIACIONES Y AMORTIZACIONES</t>
  </si>
  <si>
    <t>MARGEN OPERACIONAL NETO</t>
  </si>
  <si>
    <t>INGRESOS Y GASTOS NO OPERACIONALES</t>
  </si>
  <si>
    <t>UTILIDAD ANTES DE IMPUESTOS Y PARTICIPACIONES</t>
  </si>
  <si>
    <t>15% Participación trabajadores</t>
  </si>
  <si>
    <t>Utilidad/perdida</t>
  </si>
  <si>
    <t>TS</t>
  </si>
  <si>
    <t>TI</t>
  </si>
  <si>
    <t>T0TA EGRESOS</t>
  </si>
  <si>
    <t>INTERESES AHORROS Y CERTIFICADOS DE APORTACIÓN</t>
  </si>
  <si>
    <t>Otros ingresos (centro acopio)</t>
  </si>
  <si>
    <t>COMPRA PRODUCCIÓN</t>
  </si>
  <si>
    <t>frejol</t>
  </si>
  <si>
    <t>mail</t>
  </si>
  <si>
    <t>Interes ahorros</t>
  </si>
  <si>
    <t>INTERESES CERTIFICADOS DE APORTACIÓN</t>
  </si>
  <si>
    <t>Recuperación capital</t>
  </si>
  <si>
    <t>Credito agricolas</t>
  </si>
  <si>
    <t>ahorros</t>
  </si>
  <si>
    <t xml:space="preserve">Certificado aportación </t>
  </si>
  <si>
    <t>credito corto plazo</t>
  </si>
  <si>
    <t>Gastos operativos</t>
  </si>
  <si>
    <t>SUELDOS</t>
  </si>
  <si>
    <t>SERVICIOS BÁSICOS</t>
  </si>
  <si>
    <t>SUB TOTAL</t>
  </si>
  <si>
    <t>444.45</t>
  </si>
  <si>
    <t> IMPREVISTOS 5%</t>
  </si>
  <si>
    <t> 22.22</t>
  </si>
  <si>
    <t>TOTAL GASTOS OPERACIÓN</t>
  </si>
  <si>
    <t xml:space="preserve">ELABORADO POR: MOROCHO VERÓNICA, VACA MÓNICA </t>
  </si>
  <si>
    <t>Cancelación crédito CP</t>
  </si>
  <si>
    <t>FINANCIAMIENTO COOPERATIVA CP</t>
  </si>
  <si>
    <t>VALOR EN USD</t>
  </si>
  <si>
    <t>TOTAL PASIVOS Y PATRIMONIO</t>
  </si>
  <si>
    <t>OTROS INGRESOS, CAPACITACION, SERVICIOS VARIOS</t>
  </si>
  <si>
    <t>SEMITECNIFICADO</t>
  </si>
  <si>
    <t>AFABA / CONAVE</t>
  </si>
  <si>
    <t>Zona del Litoral</t>
  </si>
  <si>
    <t>Zona de Vinces Cero Labranza</t>
  </si>
  <si>
    <t>Zona de Ventanas</t>
  </si>
  <si>
    <r>
      <t xml:space="preserve">Total Costos Directos </t>
    </r>
    <r>
      <rPr>
        <i/>
        <sz val="10"/>
        <rFont val="Arial"/>
        <family val="2"/>
      </rPr>
      <t>(Ha)</t>
    </r>
  </si>
  <si>
    <t>1,128</t>
  </si>
  <si>
    <t>1,065</t>
  </si>
  <si>
    <t>1,212</t>
  </si>
  <si>
    <t>inflación</t>
  </si>
  <si>
    <t>Venta</t>
  </si>
  <si>
    <t>Precios Venta</t>
  </si>
  <si>
    <t>PRECIOS COMPRA</t>
  </si>
  <si>
    <t>Crédito BNF Lp</t>
  </si>
  <si>
    <t>Crédito BNF Cp</t>
  </si>
  <si>
    <t>INTERESES  CRÉDITOS</t>
  </si>
  <si>
    <t>INVERSIÓN ACTIVOS FIJOS</t>
  </si>
  <si>
    <t>Interés ahorros</t>
  </si>
  <si>
    <t>Crédito agrícolas</t>
  </si>
  <si>
    <t>Pago Cuota Crédito Inversión Activo Fijo</t>
  </si>
  <si>
    <t>Certificados de Aportación</t>
  </si>
  <si>
    <t>COMPRA</t>
  </si>
  <si>
    <t>INGRESO POR VENTA</t>
  </si>
  <si>
    <t>Muebles y Enseres</t>
  </si>
  <si>
    <t>FINANCIAMIENTO COOPERATIVA y Centro de acopio</t>
  </si>
  <si>
    <t xml:space="preserve">UTILIDAD ANTES PARTICIPACI0NES E IMPUETOS </t>
  </si>
  <si>
    <t>CARTERA COLOCADA</t>
  </si>
  <si>
    <t xml:space="preserve">TASA ACTIVA </t>
  </si>
  <si>
    <t xml:space="preserve">INTERESES GANADOS  9 MESES </t>
  </si>
  <si>
    <t>DETALLE INGRESOS</t>
  </si>
  <si>
    <t>VALORES</t>
  </si>
  <si>
    <t>ABRIL- OCTUBRE</t>
  </si>
  <si>
    <t>MARZO-SEPT</t>
  </si>
  <si>
    <t>INTERMEDIARIO</t>
  </si>
  <si>
    <t>CREDITOS</t>
  </si>
  <si>
    <t>PRODUCTO BASICO : MAIZ</t>
  </si>
  <si>
    <t>CARACTERIZTICAS TECNICAS  DEL PRODUCTO</t>
  </si>
  <si>
    <t xml:space="preserve">PRODUCTO: MAIZ </t>
  </si>
  <si>
    <t>SUBPRODUCTOS RIESGOS</t>
  </si>
  <si>
    <t>Variedad</t>
  </si>
  <si>
    <t> INIAP</t>
  </si>
  <si>
    <t xml:space="preserve">Los residuos  de cosecha de Producto, sirven para harinas,  abonos,  alimento animal y semilla    </t>
  </si>
  <si>
    <t>Color</t>
  </si>
  <si>
    <t>blanco trasnparente- amarillento</t>
  </si>
  <si>
    <t>Peso</t>
  </si>
  <si>
    <t>255 gr</t>
  </si>
  <si>
    <t>Empaque</t>
  </si>
  <si>
    <t>Sacos - Costales</t>
  </si>
  <si>
    <t>Oferta</t>
  </si>
  <si>
    <t>Ciclo</t>
  </si>
  <si>
    <t>6 meses</t>
  </si>
  <si>
    <t>Ciclo/Año</t>
  </si>
  <si>
    <t>Perdida</t>
  </si>
  <si>
    <t>Volumen Ventas</t>
  </si>
  <si>
    <t>Demanda</t>
  </si>
  <si>
    <t>No Existe Sistemas de Riego</t>
  </si>
  <si>
    <t>Tiempo</t>
  </si>
  <si>
    <t>Todo el año</t>
  </si>
  <si>
    <t>Lugar Venta</t>
  </si>
  <si>
    <t>Centro  de Acopio - Mercado Convencional</t>
  </si>
  <si>
    <t>Costo Transporte</t>
  </si>
  <si>
    <t>$0.80ctvs     Quintal</t>
  </si>
  <si>
    <t>Incremento precio</t>
  </si>
  <si>
    <t>Indices Inflacion</t>
  </si>
  <si>
    <t>Pago</t>
  </si>
  <si>
    <t>Forma</t>
  </si>
  <si>
    <t>Efectivo</t>
  </si>
  <si>
    <t>Precio</t>
  </si>
  <si>
    <t>$54.50</t>
  </si>
  <si>
    <t>Costo Embalaje</t>
  </si>
  <si>
    <t>$0.5</t>
  </si>
  <si>
    <t>* EL MAIZ ES EN GRANO</t>
  </si>
  <si>
    <t>FUENTE http://www.crystal-chemical.com/maiz.htm</t>
  </si>
  <si>
    <t>PRODUCTO BASICO : FREJOL</t>
  </si>
  <si>
    <t>PHASEOLUS VULGARIS L</t>
  </si>
  <si>
    <t>Depende de la clase</t>
  </si>
  <si>
    <t>5 gr promedio</t>
  </si>
  <si>
    <t>$71.97</t>
  </si>
  <si>
    <t>FUENTE http://www.docstoc.com/docs/46829485/Perfil-del-frejol-en-Ecuador</t>
  </si>
  <si>
    <t>TOTAL A PAGAR</t>
  </si>
  <si>
    <t>capital</t>
  </si>
  <si>
    <t>interes</t>
  </si>
  <si>
    <t>cuotas</t>
  </si>
  <si>
    <t>cuota</t>
  </si>
  <si>
    <t>CUOTA FIJA</t>
  </si>
  <si>
    <t>cap amort</t>
  </si>
  <si>
    <t>cuota inter</t>
  </si>
  <si>
    <t>capital vivo</t>
  </si>
  <si>
    <t>CUOTA</t>
  </si>
  <si>
    <t>MONTO TOTAL</t>
  </si>
  <si>
    <t>AÑO  1</t>
  </si>
  <si>
    <t>AÑO  2</t>
  </si>
  <si>
    <t>AÑO  3</t>
  </si>
  <si>
    <t>AÑO  4</t>
  </si>
  <si>
    <t>AÑO  5</t>
  </si>
  <si>
    <t>INDICADOR</t>
  </si>
  <si>
    <t>POBLADORES</t>
  </si>
  <si>
    <t>ESPECIFICACION</t>
  </si>
  <si>
    <t xml:space="preserve">FUENTE </t>
  </si>
  <si>
    <t>ACTIVIDAD ECONOMICA   AGRICOLA</t>
  </si>
  <si>
    <t>PRODUCCION TOTAL COMUNIDADES PROYECTO (LEGUMINOSAS Y CEREALES )</t>
  </si>
  <si>
    <t>FUENTE: MAGAP, DPA-I - 2009</t>
  </si>
  <si>
    <t>poblacion total</t>
  </si>
  <si>
    <t>INGRESOS DE $100 A $200</t>
  </si>
  <si>
    <t>$150</t>
  </si>
  <si>
    <r>
      <t xml:space="preserve">PROMEDIO DE INGRESOS  MENSUAL (INFORMACION OBTENIDA ENCUESTAS  COMUNEROS)                                                       </t>
    </r>
    <r>
      <rPr>
        <b/>
        <u/>
        <sz val="8"/>
        <color theme="5"/>
        <rFont val="Calibri"/>
        <family val="2"/>
        <scheme val="minor"/>
      </rPr>
      <t xml:space="preserve">DE $100.00 A $200.00 EL 60.73%  </t>
    </r>
    <r>
      <rPr>
        <sz val="8"/>
        <color theme="1"/>
        <rFont val="Calibri"/>
        <family val="2"/>
        <scheme val="minor"/>
      </rPr>
      <t xml:space="preserve">                 DE $200.00 A $300.00 EL 25.41%          MAS DE $300.00 EL 4.62%</t>
    </r>
  </si>
  <si>
    <t>PRODUCCION DE LEGUMINOSAS</t>
  </si>
  <si>
    <t>PRODUCCION DE QUINTALES AL AÑO                                             (MAIZ Y FREJOL )   ANEXO 1</t>
  </si>
  <si>
    <t xml:space="preserve">RECURSO TIERRA </t>
  </si>
  <si>
    <t>SUPERFICIE EN  HECTAREAS PROPIETARIOS  COMUNEROS</t>
  </si>
  <si>
    <t>FUENTE: INVESTIGACION DE CAMPO</t>
  </si>
  <si>
    <t>CREDITOS INFORMALES CHULQUEROS</t>
  </si>
  <si>
    <t>PROMEDIO DE MONTOS CREDITOS INFORMALES MENSUALES             DE ACUERDO  A LOS INGRESOS  NETOS QUE SE DERIVAN DESPUES DE  GASTOS CABE RESALTAR QUE LA ALIMENTACION ES SUSTENTADA POR SUS PROPIOS CULTIVOS.  CAPACIDAD DE AHORRO POR AGRICULTOR</t>
  </si>
  <si>
    <t>FUENTE INVESTIGACION DE CAMPO  Y FLUJO DE EFECTIVO ANEXO  Nª 10</t>
  </si>
  <si>
    <t>san blas total has</t>
  </si>
  <si>
    <t>fuente municipio de Urcuquí</t>
  </si>
  <si>
    <t>FORMACION FONDO COOPERATIVO POR CREDITOS INMEDIATOS</t>
  </si>
  <si>
    <t>MONTO DEL CREDITO A DISPOSICION DE LOS SOCIOS (ANUAL , 3 VECES AL AÑO MONTOS DE $375.00  APROXIMADO)</t>
  </si>
  <si>
    <t>FUENTE INVESTIGACION DE CAMPO Y FLUJO DE EFECTIVO ANEXO 10</t>
  </si>
  <si>
    <t>san blas total km2</t>
  </si>
  <si>
    <t xml:space="preserve">PRODUCCION PARA EL CONSUMO </t>
  </si>
  <si>
    <t>QUINTALES AL AÑO DESTINADOS PARA EL CONSUMO</t>
  </si>
  <si>
    <t>comunidades del proyecto has</t>
  </si>
  <si>
    <t xml:space="preserve">PRODUCCION PARA  LA VENTA  </t>
  </si>
  <si>
    <t xml:space="preserve">QUINTALES AL AÑO DESTINADOS A LA VENTA </t>
  </si>
  <si>
    <t>total cultibable</t>
  </si>
  <si>
    <t xml:space="preserve">CONVENIO CON  INTERMEDIARIOS </t>
  </si>
  <si>
    <t>INFORMACION OBTENIDA DE LAS ENCUESTAS REALIZADAS A LOS COMERCIANTES MAYORISTAS  DE LA CIUDAD IBARRA</t>
  </si>
  <si>
    <t xml:space="preserve">NO POSEEN CAPACITACION TECNICA </t>
  </si>
  <si>
    <t>DEFORESTACION  DEL SUELDO , MONOCULTIVOS         OBSERVACION DIRECTA COMUNIDADES DEL PROYECTO</t>
  </si>
  <si>
    <t>IN</t>
  </si>
  <si>
    <t>EGRE</t>
  </si>
  <si>
    <t>TIPO DE MERCADO INTERMEDIARIOS</t>
  </si>
  <si>
    <t xml:space="preserve">SE DESTINA  DEL TOTAL DE VENTAS EL 59%  DE QUINTALES AL AÑO A  INTERMEDIARIOS                </t>
  </si>
  <si>
    <t>TN</t>
  </si>
  <si>
    <t>CASTIGO 30%</t>
  </si>
  <si>
    <t>DESTINO DE LA VENTA A IBARRA</t>
  </si>
  <si>
    <t>DEL TOTAL DE VENTAS REALIZADAS  EL 58% SE DESTINA A LA CIUDAD DE IBARRA</t>
  </si>
  <si>
    <t>CAPACIDAD DE PAGO 70%</t>
  </si>
  <si>
    <t>MAYOR DIFICULTAD EN LA VENTA LA COMERCIALIZACION</t>
  </si>
  <si>
    <t>SE OBSERVO QUE LA GRAN MAYORIA DE LOS AGRICULTORES NO VENDEN SUS PRODUCTOS POR LA FALTA DE ESTRATEGIAS E INICIATIVAS EN VENTAS..</t>
  </si>
  <si>
    <t>TOTAL DEMANDA</t>
  </si>
  <si>
    <t>DEMANDA QUINTALES  ANUAL. INFORMACION  ENCUESTAS  MERCADO MAYORISTA          CUADRO 3.4</t>
  </si>
  <si>
    <t>CAPACIDAD COBERTURA DEMANDA</t>
  </si>
  <si>
    <t>DEL TOTAL DE LA PRODUCCION DE   CONSUMO Y VENTA DIVIDIDO PARA  EL TOTAL DE LA DEMANDA.</t>
  </si>
  <si>
    <t>ELABORADO: MOROCHO VERONICA, VACA MONICA</t>
  </si>
  <si>
    <t xml:space="preserve">767 km </t>
  </si>
  <si>
    <t>e = ( 1 + j / m ) m - 1</t>
  </si>
  <si>
    <t>inflacion</t>
  </si>
  <si>
    <t>Vacaciones</t>
  </si>
  <si>
    <t xml:space="preserve">Impuesto  a la Renta </t>
  </si>
  <si>
    <t xml:space="preserve">PROPIEDAD PLANTA Y EQUIPO </t>
  </si>
  <si>
    <t>Valor en $</t>
  </si>
  <si>
    <t>Total en $</t>
  </si>
  <si>
    <t>Propiedad planta y Equipo</t>
  </si>
  <si>
    <t>Edificio</t>
  </si>
  <si>
    <t>PATRIMONIO</t>
  </si>
  <si>
    <t>PASIVO LARGO PLAZO</t>
  </si>
  <si>
    <t xml:space="preserve">PASIVO CORTO PLAZO </t>
  </si>
  <si>
    <t>CUENTAS</t>
  </si>
  <si>
    <t>Préstamo Bancario Corto plazo</t>
  </si>
  <si>
    <t>Préstamo Bancario L/p</t>
  </si>
  <si>
    <t>ACTIVOS CORRIENTES</t>
  </si>
  <si>
    <t>TOTAL PASIVOS</t>
  </si>
  <si>
    <t>3.</t>
  </si>
  <si>
    <t>CAPITAL SOCIAL</t>
  </si>
  <si>
    <t>Certificados de aportación</t>
  </si>
  <si>
    <t>TOTAL PATRIMONIO</t>
  </si>
  <si>
    <t>1</t>
  </si>
  <si>
    <t>ACTIVOS</t>
  </si>
  <si>
    <t>PASIVOS</t>
  </si>
  <si>
    <t xml:space="preserve">Caja </t>
  </si>
  <si>
    <t>Bancos</t>
  </si>
  <si>
    <t>FONDO COOPERATIVO Y CENTRO DE ACOPIO DE ACOPIO "TUCKUYLLA"</t>
  </si>
  <si>
    <t>(En Dolares de los Estados Unidos de America )</t>
  </si>
  <si>
    <t xml:space="preserve">TOTAL GENERAL </t>
  </si>
  <si>
    <t>TOTAL GENERAL.</t>
  </si>
  <si>
    <t>TOTAL PASIVO Y  PATRIMONIO</t>
  </si>
  <si>
    <t>Utilidad del ejercicio</t>
  </si>
  <si>
    <t>DATOS</t>
  </si>
  <si>
    <t>NÚMERO DE SOCIOS</t>
  </si>
  <si>
    <t>APORTE  INICIAL</t>
  </si>
  <si>
    <t xml:space="preserve">AHORRO PROGRAMADO </t>
  </si>
  <si>
    <t xml:space="preserve">TASA MENSUAL </t>
  </si>
  <si>
    <t>TASA DE NTERES ACTIVA FONDO</t>
  </si>
  <si>
    <t>TASA DE INTERES PASIVA CREDITO</t>
  </si>
  <si>
    <t>TASA DE INTERES PASIVA FONDO</t>
  </si>
  <si>
    <t>CRÉDITO 1</t>
  </si>
  <si>
    <t>CRÉDITO 2</t>
  </si>
  <si>
    <t>CRÉDITO 3</t>
  </si>
  <si>
    <t>CRÉDITO 4</t>
  </si>
  <si>
    <t>NOTA EL FONDO COOPERATIVO OTORGA CREDITOS UNICAMENTE PARA LOS PROCESOS DE SIEMBRA Y COSECHA DEL SECTOR</t>
  </si>
  <si>
    <t>SUELDO PERSONAL</t>
  </si>
  <si>
    <t xml:space="preserve">FLUJO     DE CAJA SIN FINANCIAMIENTO EXTERNO  FONDO    COOPERATIVO     AGRARIO </t>
  </si>
  <si>
    <t xml:space="preserve">FLUJO     DE CAJA  CON   FINANCIAMIENTO EXTERNO  FONDO    COOPERATIVO     AGRARIO </t>
  </si>
  <si>
    <t xml:space="preserve">SIN LOS INGRESOS DEL CENTRO DE ACOPIO SE REQUIERE UN PRÉSTAMO DE </t>
  </si>
  <si>
    <t>DATOS PARA CAMBIAR</t>
  </si>
  <si>
    <t xml:space="preserve">GASTOS DIRECTIVOS </t>
  </si>
  <si>
    <t xml:space="preserve">PRECIO VENTA  MAIZ </t>
  </si>
  <si>
    <t xml:space="preserve">PRECIO VENTA FRÉJOL </t>
  </si>
  <si>
    <t>PRECIO COMPRA MAIZ</t>
  </si>
  <si>
    <t>PRECIO COMPRA  FRÉJOL</t>
  </si>
  <si>
    <t>PRODUCCIÓN INICIAL  MAÍZ</t>
  </si>
  <si>
    <t>PRODUCCIÓN INICIAL  FRÉJOL</t>
  </si>
  <si>
    <t>VENTA DE LEGUMINOSAS</t>
  </si>
  <si>
    <t>COMPRA  LEGUMINOSAS</t>
  </si>
  <si>
    <t>GASTOS OPERATIVOS</t>
  </si>
  <si>
    <t>FLUJO     DE CAJA SIN FINANCIAMIENTO EXTERNO  CENTRO   DE   ACOPIO</t>
  </si>
  <si>
    <t>QQ POR SOCIO</t>
  </si>
  <si>
    <t>NOTA EL  CENTRO DE ACOPIO SE ENCARGARA DEL ACOPIO DE LA PRODUCCIÓN  DE LOS  SOCIOS</t>
  </si>
  <si>
    <t>Cartera</t>
  </si>
  <si>
    <t xml:space="preserve">BALANCE DE SITUACION FINANCIERA PROYECTADO </t>
  </si>
  <si>
    <t>DEL 1 DE ENERO   AL 31 DE MARZO  DEL 2011</t>
  </si>
  <si>
    <t>PRIMER TRIMESTRE</t>
  </si>
  <si>
    <t>(En Dólares de los Estados Unidos de America )</t>
  </si>
  <si>
    <t>FONDO COOPERATIVO Y CENTRO DE ACOPIO DE ACOPIO "TUKUYLLA"</t>
  </si>
  <si>
    <t>BALANCE DE SITUACION FINANCIERA  PROYECTADO</t>
  </si>
  <si>
    <t>CINCO AÑOS</t>
  </si>
  <si>
    <t>PERUGACHI PILLAJO FRANCISCO</t>
  </si>
  <si>
    <t>AMAGUANA COTACACHI JESUS HUMBERTO</t>
  </si>
  <si>
    <t>ALBANCANDO IPIALES LUIS</t>
  </si>
  <si>
    <t>MALDONADO CABASCANGO MARIA ANDREA</t>
  </si>
  <si>
    <t>CAMUENDO FLORES JOSE PEDRO</t>
  </si>
  <si>
    <t>ANDRANGO ANDRANGO JOSE ALBERTO</t>
  </si>
  <si>
    <t>CEPEDA MORALES MARIA MERCEDES</t>
  </si>
  <si>
    <t>VASQUEZ AJALA JOSE LUIS</t>
  </si>
  <si>
    <t>GUAJAN MORALES LUIS ALBERTO</t>
  </si>
  <si>
    <t>LANCHIMBA SAAVEDRA RODRIGO ERNESTO</t>
  </si>
  <si>
    <t>ESTEVEZ DE JESUS MANUEL BENJAMIN</t>
  </si>
  <si>
    <t>AMAGUAÑA MAIGUA GLADYS CARMELA</t>
  </si>
  <si>
    <t>ANDRADE TULUMBANGO JOSE SEGUNDO MARIANO</t>
  </si>
  <si>
    <t>ASCANTA ANGUAYA LUZ MARIA</t>
  </si>
  <si>
    <t>OTAVALO CAÑAMAR MARIA OLGA</t>
  </si>
  <si>
    <t>AGUILAR MENDEZ PEDRO</t>
  </si>
  <si>
    <t>CHALAPUENTO RAMOS JOSE ALFONSO</t>
  </si>
  <si>
    <t>MORALES JOSE MANUEL</t>
  </si>
  <si>
    <t>RAMOS CACHIGUANGO ALFONSO</t>
  </si>
  <si>
    <t>POTOSI CHIZA JOSE RAFAEL</t>
  </si>
  <si>
    <t>CAHUASQUI AGUILAR SEGUNDO</t>
  </si>
  <si>
    <t>TITUAÑA VINUEZA HERNAN ALONSO</t>
  </si>
  <si>
    <t>CACHIGUANGO PANAMA JOSE FRANCISCO</t>
  </si>
  <si>
    <t>SANTILLAN AMAGUAÑA MARIA ELENA</t>
  </si>
  <si>
    <t>MORALES CANDO GENARO</t>
  </si>
  <si>
    <t>MORALES CANDO JOSE LUIS</t>
  </si>
  <si>
    <t>CABASCANGO QUISHPE JAIRO ENRIQUE</t>
  </si>
  <si>
    <t>MARTINEZ ORTEGA BLANCA REBECA</t>
  </si>
  <si>
    <t>FUERES PICHAMBA MARIA ROSA</t>
  </si>
  <si>
    <t>FUERES PICHAMBA MARIA ANGELICA</t>
  </si>
  <si>
    <t>FUERES PICHAMBA MARIA MERCEDES</t>
  </si>
  <si>
    <t>FUERES PICHAMBA JOSE MIGUEL</t>
  </si>
  <si>
    <t>ANRANGO ASCANTA PEDRO</t>
  </si>
  <si>
    <t>SANTILLAN AJALA LUIS</t>
  </si>
  <si>
    <t>SANTILLAN JOSE ANTONIO</t>
  </si>
  <si>
    <t>CONEJO CABASCANGO CESAR</t>
  </si>
  <si>
    <t>ANRANGO ANRANGO JOSEFINA</t>
  </si>
  <si>
    <t>CASTAÑEDA MALES ESTHELA</t>
  </si>
  <si>
    <t>SANTELLAN MUENALA ALFONSO</t>
  </si>
  <si>
    <t>MORENO SARAUZ SONIA MARIBEL</t>
  </si>
  <si>
    <t>RUIZ PAVON MARITZA LILIANA</t>
  </si>
  <si>
    <t>GUAJAN MALDONADO JOSE MANUEL</t>
  </si>
  <si>
    <t>ARELLANO PASTILLO JOSE ANTONIO</t>
  </si>
  <si>
    <t>CAMUENDO ANRANGO JOSE MARIA</t>
  </si>
  <si>
    <t>MORALES BAUTISTA LUIS ALFONSO</t>
  </si>
  <si>
    <t>CABEZAS CUICHAN JUANA ANGELITA</t>
  </si>
  <si>
    <t>PERUGACHI FUEREZ JOSE MANUEL</t>
  </si>
  <si>
    <t>TABI AJALA JOSE RAFAEL</t>
  </si>
  <si>
    <t>CACHIMUEL AGUILAR JUAN SEBASTIAN</t>
  </si>
  <si>
    <t>CEPEDA AMAGUAÑA ALEJANDRO</t>
  </si>
  <si>
    <t>SANTILLAN AMAGUAÑA MARIA MATILDE</t>
  </si>
  <si>
    <t>SANTACRUZ YAMBERLA CARLOS ALBERTO</t>
  </si>
  <si>
    <t>CACOANGO TUSA MARIA CARMEN</t>
  </si>
  <si>
    <t>DE LA TORRE MORALES LUZMILA</t>
  </si>
  <si>
    <t>IGLESIAS EVANGELICAS ALIANZA CRISTIANA Y MISIONERA</t>
  </si>
  <si>
    <t>HINOJOSA ISAMA MANUEL</t>
  </si>
  <si>
    <t>VINUEZA MALDONADO FRANKLIN ELVIS</t>
  </si>
  <si>
    <t>MALDONADO DE LA TORRE JESUS ROBERTO</t>
  </si>
  <si>
    <t>GUANDINANGO MOROCHO LUIS ALBERTO</t>
  </si>
  <si>
    <t>COTACACHI MALDONADO LUIS ALEJANDRO</t>
  </si>
  <si>
    <t>ANRANGO REMACHE JOSE JUAN</t>
  </si>
  <si>
    <t>BURGA CAIZA DOLORES</t>
  </si>
  <si>
    <t>GUALACATA TOCAGON PEDRO</t>
  </si>
  <si>
    <t>TOCAGON PEÑA LUIS</t>
  </si>
  <si>
    <t>PROAÑO PERACHIMBA MARIA VICTORIA</t>
  </si>
  <si>
    <t>AGUILAR CABASCANGO JUANA</t>
  </si>
  <si>
    <t>CONCHA DE LA TORRE MIGUEL</t>
  </si>
  <si>
    <t>RAMOS SAMORA DOLORES</t>
  </si>
  <si>
    <t>RAMOS ZAMORA MARIA ROSA ELENA</t>
  </si>
  <si>
    <t>TAMAYO CACHIMUEL JOSE OSWALDO</t>
  </si>
  <si>
    <t>TAMAYO QUINCHIGUANGO GUIDO RAUL</t>
  </si>
  <si>
    <t>TAMAYO RAMOS MARIA CARMEN</t>
  </si>
  <si>
    <t>RAMOS PERUGACHI MARIA CARMELINA</t>
  </si>
  <si>
    <t>MAIGUA MORALES MARIA ROSA</t>
  </si>
  <si>
    <t>MALDONADO GUAJAN ANDRES</t>
  </si>
  <si>
    <t>CAMPO PERALTA LORENZO</t>
  </si>
  <si>
    <t>MALDONADO GUAJAN MARIA</t>
  </si>
  <si>
    <t>MALDONADO GUAJAN ROSA</t>
  </si>
  <si>
    <t>PERUGACHI FUEREZ JOSE MIGUEL</t>
  </si>
  <si>
    <t>FUEREZ FUERES DIEGO FRANKLIN</t>
  </si>
  <si>
    <t>IMBAQUINGO PICHAMBA MARIA HERMELINDA</t>
  </si>
  <si>
    <t>VELASQUEZ BURGA BOLIVAR</t>
  </si>
  <si>
    <t>BURGA SANTACRUZ MARIA MARLENE</t>
  </si>
  <si>
    <t>MORALES AMAGUAÑA ANTONIO</t>
  </si>
  <si>
    <t>SANTILLAN MALES JOSE ALBERTO</t>
  </si>
  <si>
    <t>PINSAG TABANGO ALFONSO</t>
  </si>
  <si>
    <t>MORALES YAMBERLA JOSE JESUS</t>
  </si>
  <si>
    <t>VIÑACHI MALDONADO LUZMILA</t>
  </si>
  <si>
    <t>ESPARZA ENCALADA NELLY ADRIANA</t>
  </si>
  <si>
    <t>MEZA MEZA LUIS ALBERTO</t>
  </si>
  <si>
    <t>ANRANGO MENDEZ JUAN ANTONIO</t>
  </si>
  <si>
    <t>REMACHE COLIMBA SEGUNDO VICENTE</t>
  </si>
  <si>
    <t>SINCHICO SALAZAR LUIS HUMBERTO</t>
  </si>
  <si>
    <t>BURGA CAMPO JAVIER</t>
  </si>
  <si>
    <t>CACERES CORTEZ CRISTIAN ALEXANDER</t>
  </si>
  <si>
    <t>MORALES ARIAS MARIA ISABEL</t>
  </si>
  <si>
    <t>GUAJAN PAREDES JOSE ANTONIO</t>
  </si>
  <si>
    <t>INLAGO INUCA MARIA DOLORES</t>
  </si>
  <si>
    <t>REINOSO IMBAQUINGO CARMEN AMELIA</t>
  </si>
  <si>
    <t>LECHON ITURRIAGA JOSE MIGUEL</t>
  </si>
  <si>
    <t>INUCA GONZA SEGUNDO JUAN</t>
  </si>
  <si>
    <t>NAVARRETE SUAREZ CRISTIAN DAVID</t>
  </si>
  <si>
    <t>CASTAÑEDA MORALES JOSE TARQUINO</t>
  </si>
  <si>
    <t>CACERES TITUAÑA GENOVEVA</t>
  </si>
  <si>
    <t>TOCAGON VASQUEZ JOSE MANUEL</t>
  </si>
  <si>
    <t>GUALACATA GUALACATA JUAN</t>
  </si>
  <si>
    <t>PERACHIMBA MALES LAURA</t>
  </si>
  <si>
    <t>ROMERO GUZMAN MARIA ROSARIO</t>
  </si>
  <si>
    <t>ANRRANGO COTACACHI MARIA ROSA</t>
  </si>
  <si>
    <t>SANTELLAN SANTELLAN MARIA DOLORES</t>
  </si>
  <si>
    <t>CACOANGO GUALACATA MARIA ENCARNACION</t>
  </si>
  <si>
    <t>CAHUASQUI MORALES JOSE ANTONIO</t>
  </si>
  <si>
    <t>ESPINOSA GUAMAN LUIS SEGUNDO</t>
  </si>
  <si>
    <t>ANRANGO MALES JOSE SEGUNDO</t>
  </si>
  <si>
    <t>AMAGUAÑA JETACAMA ROSA ELENA</t>
  </si>
  <si>
    <t>CEPEDA CHAVEZ ALONSO</t>
  </si>
  <si>
    <t>LEON BURGA SEGUNDO</t>
  </si>
  <si>
    <t>BURGA MALES FRANCISCO JOSE</t>
  </si>
  <si>
    <t>TABANGO CAÑAREJO MARIA HORTENCIA</t>
  </si>
  <si>
    <t>DE LA TORRE CORDOVA JOSE CARLOS</t>
  </si>
  <si>
    <t>CONEJO COTACACHI ROSA ELENA</t>
  </si>
  <si>
    <t>CACHIMUEL ANRANGO MARIA BEATRIZ</t>
  </si>
  <si>
    <t>QUILUMBA YACELGA MARIA CARMEN</t>
  </si>
  <si>
    <t>CABASCANGO MUENALA ROSA MARIA</t>
  </si>
  <si>
    <t>TRAVEZ PORATE MANUEL</t>
  </si>
  <si>
    <t>MUENALA CABASCANGO JOSE DOMINGO</t>
  </si>
  <si>
    <t>DOMINGUEZ TABANGO MARIA ELENA</t>
  </si>
  <si>
    <t>CABASCANGO PORATE ANGELA</t>
  </si>
  <si>
    <t>CABASCANGO PORATE CESAR</t>
  </si>
  <si>
    <t>PINSAG CAHUASQUI ROSA MATILDE</t>
  </si>
  <si>
    <t>LOPEZ SARANSIG JOSE</t>
  </si>
  <si>
    <t>CABASCANGO CAHIMUEL LUIS RICARDO</t>
  </si>
  <si>
    <t>COMUNIDAD DE SAN JUAN ALTO</t>
  </si>
  <si>
    <t>VASQUEZ RODRIGUEZ SEGUNDO ELIECER</t>
  </si>
  <si>
    <t>MORA SANTANDER MARCELA</t>
  </si>
  <si>
    <t>GUERRON CHAVEZ CESAR IVAN</t>
  </si>
  <si>
    <t>MURIEL IRENE MARLLORE</t>
  </si>
  <si>
    <t>MORA SANTANDER FERNANDO OLIVERIO</t>
  </si>
  <si>
    <t>HARO RUIZ MARIA BEATRIZ</t>
  </si>
  <si>
    <t>TORRES ANRANGO SANTOS</t>
  </si>
  <si>
    <t>TUQUERREZ MAIGUA MARIA LUZMILA</t>
  </si>
  <si>
    <t>PANAMA MORALES MARIA HERMELINDA</t>
  </si>
  <si>
    <t>PANAMA MORALES LUIS GILBERTO</t>
  </si>
  <si>
    <t>CABEZAS GUEVARA LUIS RIGOBERTO</t>
  </si>
  <si>
    <t>PERACHIMBA NOQUEZ MARIA CECILIA</t>
  </si>
  <si>
    <t>NOQUEZ TORRES MARIA ROSALIA</t>
  </si>
  <si>
    <t>PERACHIMBA NOQUEZ JOSE MIGUEL</t>
  </si>
  <si>
    <t>PERACHIMBA NOQUEZ ROSA MARIA</t>
  </si>
  <si>
    <t>PERACHIMBA NOQUEZ ELISEO</t>
  </si>
  <si>
    <t>PERACHIMBA NOQUEZ JOSE MANUEL</t>
  </si>
  <si>
    <t>CAMUENDO GUALACATA BLANCA DIOCELINA</t>
  </si>
  <si>
    <t>CASTAÑEDA REMACHE MARIA ROSA</t>
  </si>
  <si>
    <t>CANDO CASTAÑEDA MARIA ROSARIO</t>
  </si>
  <si>
    <t>SINCHICO CAÑAMAR JOSE RAFAEL</t>
  </si>
  <si>
    <t>CASTAÑEDA CASTAÑEDA RAFAEL</t>
  </si>
  <si>
    <t>CAÑAMAR CANDO GREGORIO</t>
  </si>
  <si>
    <t>MALES FLORES MARIA MERCEDES</t>
  </si>
  <si>
    <t>CAÑAMAR CANDO RAFAEL</t>
  </si>
  <si>
    <t>CONGO LEON MARIA LUZMILA</t>
  </si>
  <si>
    <t>CONGO LEON MARTHA JAEL</t>
  </si>
  <si>
    <t>ESPINOSA CONGO LUIS PATRICIO</t>
  </si>
  <si>
    <t>ESPINOSA BERNARDO ELSA MAGDALENA</t>
  </si>
  <si>
    <t>PABON LARA MILTON RENE</t>
  </si>
  <si>
    <t>LARA ESPINOZA LUIS EMITERIO</t>
  </si>
  <si>
    <t>CARCELEN CONGO MARIA UBALDINA</t>
  </si>
  <si>
    <t>PADILLA ESPINOSA MARIA INES</t>
  </si>
  <si>
    <t>TITO JUAN TORIBIO</t>
  </si>
  <si>
    <t>ILES PUPIALES TORIBIO</t>
  </si>
  <si>
    <t>RAMIREZ MORAN NELSON FABIAN</t>
  </si>
  <si>
    <t>RAMIREZ MORAN MARIA LUZMILA</t>
  </si>
  <si>
    <t>FERNANDEZ QUILCA ROSA MARIA</t>
  </si>
  <si>
    <t>VILLAVICENCIO RUIZ LUIS LOMBARDO</t>
  </si>
  <si>
    <t>SINCHICO POTOSI MARIA</t>
  </si>
  <si>
    <t>YAMBERLA CACHIMUEL  MARIA ADRIANA</t>
  </si>
  <si>
    <t>YAMBERLA DE LA TORRE CARLOS ALBERTO</t>
  </si>
  <si>
    <t>MORALES MALES ALBERTO</t>
  </si>
  <si>
    <t>RAMIREZ MORAN JOSE HUMBERTO</t>
  </si>
  <si>
    <t>RAMIREZ MORAN XIMENA ESPERANZA</t>
  </si>
  <si>
    <t>CASTILLO ANGAMARCA SEGUNDO CARLOS</t>
  </si>
  <si>
    <t>SANTILLAN VEGA LUIS ALFONSO</t>
  </si>
  <si>
    <t>PIJAL QUILUMBAQUIN LUIS AMABLE</t>
  </si>
  <si>
    <t>MALES VASQUEZ MARIA ZOILA</t>
  </si>
  <si>
    <t>MALES VASQUEZ MARIA DOLORES</t>
  </si>
  <si>
    <t>MALES ALBANCANDO JOSE MANUEL</t>
  </si>
  <si>
    <t>MALES CUSHCAGUA MARIA JOSEFINA</t>
  </si>
  <si>
    <t xml:space="preserve">VALOR APERTURA DE CUENTA </t>
  </si>
  <si>
    <t>VALOR AHORRO PROGRAMADO</t>
  </si>
  <si>
    <t>MORALES CANDO JOSE ALBERTO</t>
  </si>
</sst>
</file>

<file path=xl/styles.xml><?xml version="1.0" encoding="utf-8"?>
<styleSheet xmlns="http://schemas.openxmlformats.org/spreadsheetml/2006/main">
  <numFmts count="19">
    <numFmt numFmtId="43" formatCode="_-* #,##0.00\ _€_-;\-* #,##0.00\ _€_-;_-* &quot;-&quot;??\ _€_-;_-@_-"/>
    <numFmt numFmtId="164" formatCode="&quot;$&quot;\ #,##0.00_);[Red]\(&quot;$&quot;\ #,##0.00\)"/>
    <numFmt numFmtId="165" formatCode="0.0000"/>
    <numFmt numFmtId="166" formatCode="[$$-300A]\ #.##00."/>
    <numFmt numFmtId="167" formatCode="[$$-86B]\ #.##00."/>
    <numFmt numFmtId="168" formatCode="&quot;Sí&quot;;&quot;Sí&quot;;&quot;No&quot;"/>
    <numFmt numFmtId="169" formatCode="_([$$-409]* #,##0.00_);_([$$-409]* \(#,##0.00\);_([$$-409]* &quot;-&quot;??_);_(@_)"/>
    <numFmt numFmtId="170" formatCode="0.0"/>
    <numFmt numFmtId="171" formatCode="#.##"/>
    <numFmt numFmtId="172" formatCode="_-* #,##0.00\ _P_t_s_-;\-* #,##0.00\ _P_t_s_-;_-* &quot;-&quot;??\ _P_t_s_-;_-@_-"/>
    <numFmt numFmtId="173" formatCode="_ * #,##0.00_ ;_ * \-#,##0.00_ ;_ * &quot;-&quot;??_ ;_ @_ "/>
    <numFmt numFmtId="174" formatCode="_-* #,##0.00\ _P_t_s_-;\-* #,##0.00\ _P_t_s_-;_-* &quot;-&quot;\ _P_t_s_-;_-@_-"/>
    <numFmt numFmtId="175" formatCode="_-* #,##0\ _P_t_s_-;\-* #,##0\ _P_t_s_-;_-* &quot;-&quot;\ _P_t_s_-;_-@_-"/>
    <numFmt numFmtId="176" formatCode="_(* #,##0.00_);_(* \(#,##0.00\);_(* &quot;-&quot;??_);_(@_)"/>
    <numFmt numFmtId="177" formatCode="_-* #.##0.\ _P_t_s_-;\-* #.##0.\ _P_t_s_-;_-* &quot;-&quot;\ _P_t_s_-;_-@_-"/>
    <numFmt numFmtId="178" formatCode="#.0"/>
    <numFmt numFmtId="179" formatCode="_-* #.##0.\ _€_-;\-* #.##0.\ _€_-;_-* &quot;-&quot;??\ _€_-;_-@_-"/>
    <numFmt numFmtId="180" formatCode="_-* #.##.\ _€_-;\-* #.##.\ _€_-;_-* &quot;-&quot;??\ _€_-;_-@_ⴆ"/>
    <numFmt numFmtId="181" formatCode="#,##0.00_ ;\-#,##0.00\ 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4"/>
      <name val="Arial"/>
      <family val="2"/>
    </font>
    <font>
      <sz val="11"/>
      <name val="Calibri"/>
      <family val="2"/>
    </font>
    <font>
      <b/>
      <sz val="8"/>
      <color rgb="FF000000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b/>
      <i/>
      <u/>
      <sz val="8"/>
      <name val="Arial"/>
      <family val="2"/>
    </font>
    <font>
      <sz val="8"/>
      <color rgb="FF000000"/>
      <name val="Times New Roman"/>
      <family val="1"/>
    </font>
    <font>
      <vertAlign val="superscript"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8"/>
      <color theme="5"/>
      <name val="Arial"/>
      <family val="2"/>
    </font>
    <font>
      <sz val="8"/>
      <color theme="2" tint="-0.49998474074526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u/>
      <sz val="9"/>
      <color theme="10"/>
      <name val="Arial"/>
      <family val="2"/>
    </font>
    <font>
      <b/>
      <sz val="9"/>
      <color rgb="FFFF000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indexed="9"/>
      <name val="Arial"/>
      <family val="2"/>
    </font>
    <font>
      <sz val="9"/>
      <color theme="1"/>
      <name val="Calibri"/>
      <family val="2"/>
      <scheme val="minor"/>
    </font>
    <font>
      <b/>
      <u/>
      <sz val="8"/>
      <color theme="5"/>
      <name val="Calibri"/>
      <family val="2"/>
      <scheme val="minor"/>
    </font>
    <font>
      <sz val="8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  <charset val="1"/>
    </font>
    <font>
      <b/>
      <sz val="12"/>
      <name val="Calibri"/>
      <family val="2"/>
      <charset val="1"/>
    </font>
    <font>
      <sz val="14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9BBB59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" fillId="0" borderId="0"/>
    <xf numFmtId="0" fontId="47" fillId="0" borderId="0" applyNumberFormat="0" applyFill="0" applyBorder="0" applyAlignment="0" applyProtection="0">
      <alignment vertical="top"/>
      <protection locked="0"/>
    </xf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" fillId="0" borderId="0"/>
    <xf numFmtId="0" fontId="9" fillId="0" borderId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81" fillId="0" borderId="0"/>
  </cellStyleXfs>
  <cellXfs count="804">
    <xf numFmtId="0" fontId="0" fillId="0" borderId="0" xfId="0"/>
    <xf numFmtId="0" fontId="0" fillId="0" borderId="7" xfId="0" applyBorder="1"/>
    <xf numFmtId="2" fontId="0" fillId="0" borderId="7" xfId="0" applyNumberFormat="1" applyBorder="1"/>
    <xf numFmtId="0" fontId="10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8" xfId="0" applyFont="1" applyBorder="1"/>
    <xf numFmtId="0" fontId="0" fillId="0" borderId="9" xfId="0" applyBorder="1"/>
    <xf numFmtId="0" fontId="9" fillId="0" borderId="10" xfId="0" applyFont="1" applyBorder="1"/>
    <xf numFmtId="0" fontId="0" fillId="0" borderId="11" xfId="0" applyBorder="1"/>
    <xf numFmtId="0" fontId="0" fillId="0" borderId="12" xfId="0" applyBorder="1"/>
    <xf numFmtId="0" fontId="9" fillId="0" borderId="13" xfId="0" applyFont="1" applyBorder="1"/>
    <xf numFmtId="0" fontId="0" fillId="0" borderId="14" xfId="0" applyBorder="1"/>
    <xf numFmtId="0" fontId="0" fillId="0" borderId="15" xfId="0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0" fillId="0" borderId="20" xfId="0" applyBorder="1"/>
    <xf numFmtId="4" fontId="0" fillId="0" borderId="0" xfId="0" applyNumberFormat="1"/>
    <xf numFmtId="0" fontId="0" fillId="0" borderId="8" xfId="0" applyBorder="1"/>
    <xf numFmtId="0" fontId="14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9" fillId="0" borderId="0" xfId="0" applyFont="1"/>
    <xf numFmtId="2" fontId="15" fillId="0" borderId="6" xfId="0" applyNumberFormat="1" applyFont="1" applyBorder="1" applyAlignment="1">
      <alignment horizontal="right"/>
    </xf>
    <xf numFmtId="2" fontId="16" fillId="0" borderId="6" xfId="0" applyNumberFormat="1" applyFont="1" applyBorder="1" applyAlignment="1">
      <alignment horizontal="right"/>
    </xf>
    <xf numFmtId="0" fontId="16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2" fontId="0" fillId="0" borderId="9" xfId="0" applyNumberFormat="1" applyBorder="1"/>
    <xf numFmtId="2" fontId="0" fillId="0" borderId="0" xfId="0" applyNumberFormat="1"/>
    <xf numFmtId="0" fontId="20" fillId="0" borderId="2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0" fontId="21" fillId="0" borderId="6" xfId="0" applyNumberFormat="1" applyFont="1" applyBorder="1" applyAlignment="1">
      <alignment horizontal="center" vertical="center" wrapText="1"/>
    </xf>
    <xf numFmtId="9" fontId="21" fillId="0" borderId="6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" fontId="0" fillId="0" borderId="7" xfId="0" applyNumberFormat="1" applyBorder="1"/>
    <xf numFmtId="0" fontId="9" fillId="0" borderId="0" xfId="0" applyFont="1" applyBorder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39" xfId="0" applyFont="1" applyBorder="1"/>
    <xf numFmtId="1" fontId="0" fillId="0" borderId="40" xfId="0" applyNumberFormat="1" applyBorder="1"/>
    <xf numFmtId="0" fontId="9" fillId="0" borderId="41" xfId="0" applyFont="1" applyBorder="1" applyAlignment="1">
      <alignment horizontal="center"/>
    </xf>
    <xf numFmtId="1" fontId="0" fillId="0" borderId="42" xfId="0" applyNumberFormat="1" applyBorder="1"/>
    <xf numFmtId="0" fontId="0" fillId="0" borderId="39" xfId="0" applyBorder="1"/>
    <xf numFmtId="0" fontId="0" fillId="0" borderId="41" xfId="0" applyBorder="1"/>
    <xf numFmtId="0" fontId="22" fillId="0" borderId="0" xfId="0" applyFont="1"/>
    <xf numFmtId="0" fontId="9" fillId="0" borderId="7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2" fontId="0" fillId="0" borderId="40" xfId="0" applyNumberFormat="1" applyBorder="1"/>
    <xf numFmtId="0" fontId="22" fillId="0" borderId="41" xfId="0" applyFont="1" applyBorder="1"/>
    <xf numFmtId="0" fontId="22" fillId="0" borderId="20" xfId="0" applyFont="1" applyBorder="1"/>
    <xf numFmtId="1" fontId="9" fillId="0" borderId="20" xfId="0" applyNumberFormat="1" applyFont="1" applyBorder="1" applyAlignment="1">
      <alignment horizontal="center"/>
    </xf>
    <xf numFmtId="0" fontId="9" fillId="0" borderId="43" xfId="0" applyFont="1" applyBorder="1"/>
    <xf numFmtId="0" fontId="9" fillId="0" borderId="14" xfId="0" applyFont="1" applyBorder="1"/>
    <xf numFmtId="0" fontId="0" fillId="0" borderId="14" xfId="0" applyBorder="1" applyAlignment="1">
      <alignment wrapText="1"/>
    </xf>
    <xf numFmtId="0" fontId="9" fillId="0" borderId="44" xfId="0" applyFont="1" applyBorder="1"/>
    <xf numFmtId="10" fontId="0" fillId="0" borderId="7" xfId="0" applyNumberFormat="1" applyBorder="1"/>
    <xf numFmtId="2" fontId="0" fillId="0" borderId="20" xfId="0" applyNumberFormat="1" applyBorder="1"/>
    <xf numFmtId="0" fontId="6" fillId="0" borderId="20" xfId="0" applyFont="1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34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0" fillId="0" borderId="0" xfId="0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5" fillId="0" borderId="0" xfId="0" applyFont="1"/>
    <xf numFmtId="0" fontId="27" fillId="0" borderId="0" xfId="0" applyFont="1"/>
    <xf numFmtId="0" fontId="17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3" xfId="0" applyBorder="1"/>
    <xf numFmtId="169" fontId="0" fillId="0" borderId="50" xfId="0" applyNumberFormat="1" applyBorder="1"/>
    <xf numFmtId="0" fontId="9" fillId="0" borderId="5" xfId="0" applyFont="1" applyBorder="1"/>
    <xf numFmtId="0" fontId="28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33" xfId="0" applyBorder="1"/>
    <xf numFmtId="0" fontId="0" fillId="0" borderId="37" xfId="0" applyBorder="1"/>
    <xf numFmtId="0" fontId="29" fillId="0" borderId="38" xfId="0" applyFont="1" applyBorder="1"/>
    <xf numFmtId="0" fontId="8" fillId="0" borderId="38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/>
    <xf numFmtId="0" fontId="7" fillId="0" borderId="0" xfId="0" applyFont="1"/>
    <xf numFmtId="0" fontId="29" fillId="0" borderId="6" xfId="0" applyFont="1" applyBorder="1"/>
    <xf numFmtId="0" fontId="31" fillId="0" borderId="0" xfId="0" applyFont="1"/>
    <xf numFmtId="0" fontId="6" fillId="0" borderId="42" xfId="0" applyFont="1" applyBorder="1"/>
    <xf numFmtId="0" fontId="6" fillId="0" borderId="41" xfId="0" applyFont="1" applyBorder="1"/>
    <xf numFmtId="0" fontId="6" fillId="0" borderId="51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2" fontId="6" fillId="0" borderId="52" xfId="0" applyNumberFormat="1" applyFont="1" applyBorder="1"/>
    <xf numFmtId="2" fontId="6" fillId="0" borderId="48" xfId="0" applyNumberFormat="1" applyFont="1" applyBorder="1"/>
    <xf numFmtId="2" fontId="6" fillId="0" borderId="14" xfId="0" applyNumberFormat="1" applyFont="1" applyBorder="1"/>
    <xf numFmtId="2" fontId="8" fillId="0" borderId="48" xfId="0" applyNumberFormat="1" applyFont="1" applyBorder="1"/>
    <xf numFmtId="0" fontId="8" fillId="0" borderId="0" xfId="0" applyFont="1" applyAlignment="1">
      <alignment horizontal="right"/>
    </xf>
    <xf numFmtId="2" fontId="8" fillId="0" borderId="7" xfId="0" applyNumberFormat="1" applyFont="1" applyBorder="1"/>
    <xf numFmtId="2" fontId="6" fillId="2" borderId="52" xfId="0" applyNumberFormat="1" applyFont="1" applyFill="1" applyBorder="1"/>
    <xf numFmtId="2" fontId="6" fillId="0" borderId="44" xfId="0" applyNumberFormat="1" applyFont="1" applyBorder="1"/>
    <xf numFmtId="2" fontId="8" fillId="0" borderId="52" xfId="0" applyNumberFormat="1" applyFont="1" applyBorder="1"/>
    <xf numFmtId="2" fontId="6" fillId="0" borderId="53" xfId="0" applyNumberFormat="1" applyFont="1" applyBorder="1"/>
    <xf numFmtId="2" fontId="6" fillId="0" borderId="0" xfId="0" applyNumberFormat="1" applyFont="1" applyBorder="1"/>
    <xf numFmtId="2" fontId="7" fillId="0" borderId="0" xfId="0" applyNumberFormat="1" applyFont="1"/>
    <xf numFmtId="2" fontId="30" fillId="0" borderId="0" xfId="0" applyNumberFormat="1" applyFont="1"/>
    <xf numFmtId="2" fontId="8" fillId="0" borderId="34" xfId="0" applyNumberFormat="1" applyFont="1" applyBorder="1"/>
    <xf numFmtId="0" fontId="32" fillId="0" borderId="5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2" fontId="28" fillId="0" borderId="6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23" xfId="0" applyFont="1" applyBorder="1"/>
    <xf numFmtId="0" fontId="9" fillId="0" borderId="22" xfId="0" applyFont="1" applyBorder="1"/>
    <xf numFmtId="0" fontId="9" fillId="0" borderId="7" xfId="0" applyFont="1" applyBorder="1"/>
    <xf numFmtId="2" fontId="9" fillId="0" borderId="7" xfId="0" applyNumberFormat="1" applyFont="1" applyBorder="1"/>
    <xf numFmtId="2" fontId="0" fillId="0" borderId="29" xfId="0" applyNumberFormat="1" applyBorder="1"/>
    <xf numFmtId="0" fontId="0" fillId="0" borderId="35" xfId="0" applyBorder="1"/>
    <xf numFmtId="2" fontId="0" fillId="0" borderId="36" xfId="0" applyNumberFormat="1" applyBorder="1"/>
    <xf numFmtId="0" fontId="0" fillId="0" borderId="36" xfId="0" applyBorder="1"/>
    <xf numFmtId="0" fontId="0" fillId="0" borderId="6" xfId="0" applyBorder="1"/>
    <xf numFmtId="2" fontId="0" fillId="0" borderId="11" xfId="0" applyNumberFormat="1" applyBorder="1"/>
    <xf numFmtId="0" fontId="35" fillId="0" borderId="0" xfId="11" applyFont="1"/>
    <xf numFmtId="0" fontId="34" fillId="0" borderId="0" xfId="11" applyFont="1" applyAlignment="1">
      <alignment horizontal="center" vertical="top" wrapText="1" shrinkToFit="1"/>
    </xf>
    <xf numFmtId="0" fontId="36" fillId="0" borderId="0" xfId="11" applyFont="1"/>
    <xf numFmtId="0" fontId="37" fillId="0" borderId="0" xfId="11" applyFont="1"/>
    <xf numFmtId="0" fontId="36" fillId="0" borderId="54" xfId="11" applyFont="1" applyBorder="1" applyAlignment="1">
      <alignment horizontal="center" vertical="top"/>
    </xf>
    <xf numFmtId="49" fontId="36" fillId="0" borderId="54" xfId="11" applyNumberFormat="1" applyFont="1" applyBorder="1"/>
    <xf numFmtId="0" fontId="38" fillId="5" borderId="54" xfId="11" applyFont="1" applyFill="1" applyBorder="1" applyAlignment="1">
      <alignment horizontal="center"/>
    </xf>
    <xf numFmtId="0" fontId="36" fillId="0" borderId="54" xfId="11" applyFont="1" applyBorder="1"/>
    <xf numFmtId="4" fontId="36" fillId="0" borderId="54" xfId="11" applyNumberFormat="1" applyFont="1" applyBorder="1"/>
    <xf numFmtId="49" fontId="37" fillId="0" borderId="54" xfId="11" applyNumberFormat="1" applyFont="1" applyBorder="1"/>
    <xf numFmtId="0" fontId="37" fillId="0" borderId="54" xfId="11" applyFont="1" applyBorder="1"/>
    <xf numFmtId="4" fontId="37" fillId="0" borderId="54" xfId="11" applyNumberFormat="1" applyFont="1" applyBorder="1"/>
    <xf numFmtId="0" fontId="37" fillId="0" borderId="54" xfId="11" applyFont="1" applyBorder="1" applyAlignment="1">
      <alignment vertical="center" wrapText="1"/>
    </xf>
    <xf numFmtId="0" fontId="37" fillId="0" borderId="54" xfId="11" applyFont="1" applyBorder="1" applyAlignment="1">
      <alignment vertical="center"/>
    </xf>
    <xf numFmtId="4" fontId="37" fillId="0" borderId="54" xfId="11" applyNumberFormat="1" applyFont="1" applyBorder="1" applyAlignment="1">
      <alignment vertical="center"/>
    </xf>
    <xf numFmtId="0" fontId="38" fillId="5" borderId="54" xfId="11" applyFont="1" applyFill="1" applyBorder="1"/>
    <xf numFmtId="4" fontId="38" fillId="5" borderId="54" xfId="11" applyNumberFormat="1" applyFont="1" applyFill="1" applyBorder="1"/>
    <xf numFmtId="0" fontId="39" fillId="0" borderId="0" xfId="11" applyFont="1"/>
    <xf numFmtId="4" fontId="7" fillId="0" borderId="6" xfId="0" applyNumberFormat="1" applyFont="1" applyBorder="1" applyAlignment="1">
      <alignment horizontal="center" vertical="center" wrapText="1"/>
    </xf>
    <xf numFmtId="0" fontId="40" fillId="0" borderId="54" xfId="11" applyFont="1" applyBorder="1" applyAlignment="1">
      <alignment horizontal="center" vertical="top" wrapText="1"/>
    </xf>
    <xf numFmtId="0" fontId="40" fillId="0" borderId="54" xfId="11" applyFont="1" applyBorder="1" applyAlignment="1">
      <alignment horizontal="center" vertical="top"/>
    </xf>
    <xf numFmtId="0" fontId="36" fillId="0" borderId="7" xfId="0" applyFont="1" applyBorder="1"/>
    <xf numFmtId="0" fontId="37" fillId="0" borderId="7" xfId="0" applyFont="1" applyBorder="1" applyAlignment="1">
      <alignment wrapText="1"/>
    </xf>
    <xf numFmtId="0" fontId="37" fillId="0" borderId="7" xfId="0" applyFont="1" applyBorder="1"/>
    <xf numFmtId="171" fontId="37" fillId="0" borderId="7" xfId="1" applyNumberFormat="1" applyFont="1" applyBorder="1"/>
    <xf numFmtId="2" fontId="37" fillId="0" borderId="7" xfId="0" applyNumberFormat="1" applyFont="1" applyBorder="1"/>
    <xf numFmtId="171" fontId="37" fillId="0" borderId="7" xfId="0" applyNumberFormat="1" applyFont="1" applyBorder="1"/>
    <xf numFmtId="0" fontId="39" fillId="0" borderId="0" xfId="0" applyFont="1"/>
    <xf numFmtId="2" fontId="43" fillId="0" borderId="52" xfId="0" applyNumberFormat="1" applyFont="1" applyBorder="1"/>
    <xf numFmtId="2" fontId="44" fillId="2" borderId="52" xfId="0" applyNumberFormat="1" applyFont="1" applyFill="1" applyBorder="1"/>
    <xf numFmtId="2" fontId="8" fillId="0" borderId="0" xfId="0" applyNumberFormat="1" applyFont="1" applyFill="1" applyBorder="1"/>
    <xf numFmtId="2" fontId="8" fillId="3" borderId="3" xfId="0" applyNumberFormat="1" applyFont="1" applyFill="1" applyBorder="1"/>
    <xf numFmtId="2" fontId="8" fillId="3" borderId="4" xfId="0" applyNumberFormat="1" applyFont="1" applyFill="1" applyBorder="1"/>
    <xf numFmtId="2" fontId="8" fillId="3" borderId="5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0" fillId="0" borderId="49" xfId="0" applyBorder="1"/>
    <xf numFmtId="0" fontId="0" fillId="0" borderId="4" xfId="0" applyBorder="1"/>
    <xf numFmtId="2" fontId="0" fillId="0" borderId="5" xfId="0" applyNumberFormat="1" applyBorder="1"/>
    <xf numFmtId="1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46" fillId="2" borderId="0" xfId="0" applyFont="1" applyFill="1" applyAlignment="1">
      <alignment horizontal="right" wrapText="1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left" wrapText="1"/>
    </xf>
    <xf numFmtId="0" fontId="0" fillId="6" borderId="7" xfId="0" applyFill="1" applyBorder="1" applyAlignment="1">
      <alignment horizontal="righ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46" fillId="0" borderId="7" xfId="0" applyFont="1" applyBorder="1" applyAlignment="1">
      <alignment horizontal="right" wrapText="1"/>
    </xf>
    <xf numFmtId="2" fontId="46" fillId="0" borderId="7" xfId="0" applyNumberFormat="1" applyFont="1" applyBorder="1" applyAlignment="1">
      <alignment horizontal="right" wrapText="1"/>
    </xf>
    <xf numFmtId="0" fontId="47" fillId="0" borderId="0" xfId="12" applyAlignment="1" applyProtection="1"/>
    <xf numFmtId="16" fontId="0" fillId="0" borderId="0" xfId="0" applyNumberFormat="1"/>
    <xf numFmtId="2" fontId="48" fillId="2" borderId="52" xfId="0" applyNumberFormat="1" applyFont="1" applyFill="1" applyBorder="1"/>
    <xf numFmtId="1" fontId="7" fillId="0" borderId="0" xfId="0" applyNumberFormat="1" applyFont="1"/>
    <xf numFmtId="0" fontId="7" fillId="0" borderId="7" xfId="0" applyFont="1" applyBorder="1"/>
    <xf numFmtId="0" fontId="7" fillId="0" borderId="23" xfId="0" applyFont="1" applyBorder="1"/>
    <xf numFmtId="0" fontId="50" fillId="0" borderId="8" xfId="0" applyFont="1" applyBorder="1" applyAlignment="1">
      <alignment horizontal="center"/>
    </xf>
    <xf numFmtId="0" fontId="7" fillId="0" borderId="9" xfId="0" applyFont="1" applyBorder="1"/>
    <xf numFmtId="43" fontId="7" fillId="0" borderId="9" xfId="2" applyFont="1" applyBorder="1"/>
    <xf numFmtId="0" fontId="7" fillId="0" borderId="8" xfId="0" applyFont="1" applyBorder="1"/>
    <xf numFmtId="2" fontId="7" fillId="0" borderId="7" xfId="0" applyNumberFormat="1" applyFont="1" applyBorder="1"/>
    <xf numFmtId="0" fontId="7" fillId="0" borderId="11" xfId="0" applyFont="1" applyBorder="1"/>
    <xf numFmtId="2" fontId="7" fillId="0" borderId="11" xfId="0" applyNumberFormat="1" applyFont="1" applyBorder="1"/>
    <xf numFmtId="0" fontId="50" fillId="0" borderId="8" xfId="0" applyFont="1" applyBorder="1" applyAlignment="1">
      <alignment horizontal="center" wrapText="1"/>
    </xf>
    <xf numFmtId="0" fontId="51" fillId="0" borderId="0" xfId="0" applyFont="1"/>
    <xf numFmtId="0" fontId="7" fillId="0" borderId="14" xfId="0" applyFont="1" applyBorder="1"/>
    <xf numFmtId="0" fontId="7" fillId="0" borderId="7" xfId="0" applyFont="1" applyBorder="1" applyAlignment="1">
      <alignment wrapText="1"/>
    </xf>
    <xf numFmtId="1" fontId="7" fillId="0" borderId="7" xfId="0" applyNumberFormat="1" applyFont="1" applyBorder="1"/>
    <xf numFmtId="0" fontId="30" fillId="0" borderId="22" xfId="0" applyFont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2" fontId="30" fillId="0" borderId="7" xfId="0" applyNumberFormat="1" applyFont="1" applyBorder="1"/>
    <xf numFmtId="2" fontId="7" fillId="3" borderId="7" xfId="0" applyNumberFormat="1" applyFont="1" applyFill="1" applyBorder="1"/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10" fillId="0" borderId="0" xfId="0" applyFont="1"/>
    <xf numFmtId="0" fontId="10" fillId="0" borderId="4" xfId="0" applyFont="1" applyBorder="1"/>
    <xf numFmtId="0" fontId="10" fillId="0" borderId="14" xfId="0" applyFont="1" applyBorder="1"/>
    <xf numFmtId="0" fontId="10" fillId="0" borderId="7" xfId="0" applyFont="1" applyBorder="1"/>
    <xf numFmtId="2" fontId="10" fillId="0" borderId="7" xfId="0" applyNumberFormat="1" applyFont="1" applyBorder="1"/>
    <xf numFmtId="2" fontId="11" fillId="0" borderId="7" xfId="0" applyNumberFormat="1" applyFont="1" applyBorder="1"/>
    <xf numFmtId="2" fontId="10" fillId="0" borderId="0" xfId="0" applyNumberFormat="1" applyFont="1" applyAlignment="1">
      <alignment horizontal="left"/>
    </xf>
    <xf numFmtId="0" fontId="30" fillId="0" borderId="7" xfId="0" applyFont="1" applyBorder="1"/>
    <xf numFmtId="170" fontId="30" fillId="0" borderId="7" xfId="0" applyNumberFormat="1" applyFont="1" applyBorder="1"/>
    <xf numFmtId="0" fontId="6" fillId="0" borderId="14" xfId="0" applyFont="1" applyBorder="1"/>
    <xf numFmtId="0" fontId="10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2" fontId="0" fillId="0" borderId="23" xfId="0" applyNumberFormat="1" applyBorder="1"/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Border="1"/>
    <xf numFmtId="2" fontId="9" fillId="0" borderId="8" xfId="0" applyNumberFormat="1" applyFont="1" applyBorder="1" applyAlignment="1">
      <alignment horizontal="center"/>
    </xf>
    <xf numFmtId="2" fontId="9" fillId="0" borderId="8" xfId="0" applyNumberFormat="1" applyFont="1" applyBorder="1"/>
    <xf numFmtId="2" fontId="9" fillId="0" borderId="10" xfId="0" applyNumberFormat="1" applyFont="1" applyBorder="1"/>
    <xf numFmtId="0" fontId="27" fillId="0" borderId="0" xfId="0" applyFont="1" applyAlignment="1">
      <alignment wrapText="1"/>
    </xf>
    <xf numFmtId="0" fontId="10" fillId="0" borderId="2" xfId="0" applyFont="1" applyBorder="1" applyAlignment="1">
      <alignment horizontal="justify"/>
    </xf>
    <xf numFmtId="10" fontId="0" fillId="0" borderId="0" xfId="0" applyNumberFormat="1"/>
    <xf numFmtId="0" fontId="10" fillId="0" borderId="0" xfId="0" applyFont="1" applyBorder="1" applyAlignment="1">
      <alignment horizontal="center"/>
    </xf>
    <xf numFmtId="0" fontId="27" fillId="0" borderId="0" xfId="0" applyFont="1" applyBorder="1"/>
    <xf numFmtId="10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0" fillId="0" borderId="5" xfId="0" applyBorder="1"/>
    <xf numFmtId="2" fontId="10" fillId="0" borderId="5" xfId="0" applyNumberFormat="1" applyFont="1" applyBorder="1" applyAlignment="1">
      <alignment horizontal="right"/>
    </xf>
    <xf numFmtId="9" fontId="0" fillId="0" borderId="0" xfId="0" applyNumberFormat="1"/>
    <xf numFmtId="0" fontId="29" fillId="0" borderId="7" xfId="0" applyFont="1" applyFill="1" applyBorder="1" applyAlignment="1">
      <alignment horizontal="center" vertical="top" wrapText="1"/>
    </xf>
    <xf numFmtId="0" fontId="29" fillId="0" borderId="7" xfId="0" applyFont="1" applyFill="1" applyBorder="1" applyAlignment="1">
      <alignment horizontal="justify" vertical="top" wrapText="1"/>
    </xf>
    <xf numFmtId="164" fontId="0" fillId="0" borderId="0" xfId="0" applyNumberFormat="1"/>
    <xf numFmtId="0" fontId="9" fillId="0" borderId="5" xfId="0" applyFont="1" applyFill="1" applyBorder="1"/>
    <xf numFmtId="0" fontId="9" fillId="0" borderId="24" xfId="0" applyFont="1" applyBorder="1"/>
    <xf numFmtId="10" fontId="0" fillId="0" borderId="7" xfId="0" applyNumberForma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10" fontId="16" fillId="0" borderId="6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70" fontId="7" fillId="0" borderId="0" xfId="0" applyNumberFormat="1" applyFont="1" applyFill="1" applyBorder="1"/>
    <xf numFmtId="3" fontId="6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>
      <alignment horizontal="center"/>
    </xf>
    <xf numFmtId="1" fontId="55" fillId="0" borderId="0" xfId="0" applyNumberFormat="1" applyFont="1" applyBorder="1"/>
    <xf numFmtId="2" fontId="55" fillId="0" borderId="0" xfId="0" applyNumberFormat="1" applyFont="1" applyBorder="1"/>
    <xf numFmtId="2" fontId="55" fillId="0" borderId="0" xfId="0" applyNumberFormat="1" applyFont="1" applyFill="1" applyBorder="1"/>
    <xf numFmtId="2" fontId="35" fillId="0" borderId="0" xfId="0" applyNumberFormat="1" applyFont="1" applyBorder="1"/>
    <xf numFmtId="2" fontId="56" fillId="0" borderId="0" xfId="0" applyNumberFormat="1" applyFont="1" applyBorder="1"/>
    <xf numFmtId="0" fontId="9" fillId="0" borderId="57" xfId="30" applyFont="1" applyFill="1" applyBorder="1"/>
    <xf numFmtId="0" fontId="5" fillId="0" borderId="57" xfId="30" applyFont="1" applyFill="1" applyBorder="1" applyAlignment="1">
      <alignment horizontal="center"/>
    </xf>
    <xf numFmtId="0" fontId="5" fillId="0" borderId="57" xfId="30" applyFont="1" applyFill="1" applyBorder="1"/>
    <xf numFmtId="0" fontId="9" fillId="0" borderId="57" xfId="30" applyFont="1" applyBorder="1"/>
    <xf numFmtId="4" fontId="15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58" fillId="0" borderId="5" xfId="0" applyFont="1" applyBorder="1" applyAlignment="1">
      <alignment horizontal="left"/>
    </xf>
    <xf numFmtId="0" fontId="19" fillId="0" borderId="4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58" fillId="0" borderId="2" xfId="0" applyFont="1" applyBorder="1" applyAlignment="1">
      <alignment horizontal="left" wrapText="1"/>
    </xf>
    <xf numFmtId="0" fontId="58" fillId="0" borderId="6" xfId="0" applyFont="1" applyBorder="1" applyAlignment="1">
      <alignment horizontal="left"/>
    </xf>
    <xf numFmtId="0" fontId="58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 wrapText="1"/>
    </xf>
    <xf numFmtId="0" fontId="58" fillId="0" borderId="6" xfId="0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0" fontId="58" fillId="6" borderId="6" xfId="0" applyFont="1" applyFill="1" applyBorder="1" applyAlignment="1">
      <alignment horizontal="left"/>
    </xf>
    <xf numFmtId="0" fontId="58" fillId="6" borderId="6" xfId="0" applyFont="1" applyFill="1" applyBorder="1" applyAlignment="1">
      <alignment horizontal="right"/>
    </xf>
    <xf numFmtId="0" fontId="58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10" fontId="30" fillId="0" borderId="0" xfId="0" applyNumberFormat="1" applyFont="1" applyBorder="1" applyAlignment="1">
      <alignment horizontal="right"/>
    </xf>
    <xf numFmtId="0" fontId="17" fillId="0" borderId="5" xfId="0" applyFont="1" applyBorder="1" applyAlignment="1">
      <alignment horizontal="left"/>
    </xf>
    <xf numFmtId="0" fontId="60" fillId="0" borderId="5" xfId="0" applyFont="1" applyBorder="1" applyAlignment="1">
      <alignment horizontal="left" wrapText="1"/>
    </xf>
    <xf numFmtId="0" fontId="60" fillId="0" borderId="4" xfId="0" applyFont="1" applyBorder="1" applyAlignment="1">
      <alignment horizontal="center" wrapText="1"/>
    </xf>
    <xf numFmtId="0" fontId="17" fillId="7" borderId="2" xfId="0" applyFont="1" applyFill="1" applyBorder="1" applyAlignment="1">
      <alignment horizontal="left"/>
    </xf>
    <xf numFmtId="0" fontId="60" fillId="0" borderId="58" xfId="0" applyFont="1" applyBorder="1" applyAlignment="1">
      <alignment horizontal="center"/>
    </xf>
    <xf numFmtId="10" fontId="9" fillId="0" borderId="0" xfId="0" applyNumberFormat="1" applyFont="1"/>
    <xf numFmtId="0" fontId="60" fillId="0" borderId="5" xfId="0" applyFont="1" applyBorder="1" applyAlignment="1">
      <alignment horizontal="center"/>
    </xf>
    <xf numFmtId="0" fontId="61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 wrapText="1"/>
    </xf>
    <xf numFmtId="0" fontId="17" fillId="0" borderId="5" xfId="0" applyFont="1" applyBorder="1" applyAlignment="1">
      <alignment horizontal="right"/>
    </xf>
    <xf numFmtId="0" fontId="60" fillId="0" borderId="5" xfId="0" applyFont="1" applyBorder="1" applyAlignment="1">
      <alignment horizontal="left"/>
    </xf>
    <xf numFmtId="2" fontId="17" fillId="0" borderId="5" xfId="0" applyNumberFormat="1" applyFont="1" applyBorder="1" applyAlignment="1">
      <alignment horizontal="right"/>
    </xf>
    <xf numFmtId="0" fontId="60" fillId="0" borderId="5" xfId="0" applyFont="1" applyBorder="1" applyAlignment="1">
      <alignment horizontal="right"/>
    </xf>
    <xf numFmtId="2" fontId="17" fillId="6" borderId="5" xfId="0" applyNumberFormat="1" applyFont="1" applyFill="1" applyBorder="1" applyAlignment="1">
      <alignment horizontal="right"/>
    </xf>
    <xf numFmtId="0" fontId="17" fillId="6" borderId="5" xfId="0" applyFont="1" applyFill="1" applyBorder="1" applyAlignment="1">
      <alignment horizontal="right"/>
    </xf>
    <xf numFmtId="0" fontId="17" fillId="0" borderId="5" xfId="0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right"/>
    </xf>
    <xf numFmtId="2" fontId="60" fillId="0" borderId="5" xfId="0" applyNumberFormat="1" applyFont="1" applyBorder="1" applyAlignment="1">
      <alignment horizontal="right"/>
    </xf>
    <xf numFmtId="4" fontId="17" fillId="0" borderId="6" xfId="0" applyNumberFormat="1" applyFont="1" applyBorder="1" applyAlignment="1">
      <alignment horizontal="right"/>
    </xf>
    <xf numFmtId="4" fontId="17" fillId="7" borderId="6" xfId="0" applyNumberFormat="1" applyFont="1" applyFill="1" applyBorder="1" applyAlignment="1">
      <alignment horizontal="right"/>
    </xf>
    <xf numFmtId="4" fontId="60" fillId="0" borderId="6" xfId="0" applyNumberFormat="1" applyFont="1" applyBorder="1" applyAlignment="1">
      <alignment horizontal="center"/>
    </xf>
    <xf numFmtId="10" fontId="9" fillId="0" borderId="20" xfId="0" applyNumberFormat="1" applyFont="1" applyBorder="1"/>
    <xf numFmtId="9" fontId="9" fillId="0" borderId="14" xfId="1" applyNumberFormat="1" applyFont="1" applyBorder="1"/>
    <xf numFmtId="0" fontId="6" fillId="0" borderId="56" xfId="0" applyFont="1" applyBorder="1" applyAlignment="1">
      <alignment horizontal="justify" vertical="top" wrapText="1"/>
    </xf>
    <xf numFmtId="2" fontId="6" fillId="0" borderId="56" xfId="0" applyNumberFormat="1" applyFont="1" applyBorder="1" applyAlignment="1">
      <alignment horizontal="justify" vertical="top" wrapText="1"/>
    </xf>
    <xf numFmtId="2" fontId="0" fillId="0" borderId="12" xfId="0" applyNumberFormat="1" applyBorder="1"/>
    <xf numFmtId="4" fontId="28" fillId="0" borderId="6" xfId="0" applyNumberFormat="1" applyFont="1" applyBorder="1" applyAlignment="1">
      <alignment horizontal="left"/>
    </xf>
    <xf numFmtId="0" fontId="57" fillId="0" borderId="57" xfId="0" applyFont="1" applyBorder="1" applyAlignment="1">
      <alignment horizontal="center"/>
    </xf>
    <xf numFmtId="2" fontId="15" fillId="0" borderId="6" xfId="0" applyNumberFormat="1" applyFont="1" applyBorder="1" applyAlignment="1">
      <alignment horizontal="left"/>
    </xf>
    <xf numFmtId="0" fontId="0" fillId="4" borderId="7" xfId="0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62" fillId="0" borderId="7" xfId="0" applyFont="1" applyBorder="1" applyAlignment="1">
      <alignment horizontal="right" wrapText="1"/>
    </xf>
    <xf numFmtId="0" fontId="62" fillId="0" borderId="7" xfId="0" applyFont="1" applyBorder="1" applyAlignment="1">
      <alignment wrapText="1"/>
    </xf>
    <xf numFmtId="0" fontId="10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170" fontId="0" fillId="0" borderId="0" xfId="0" applyNumberFormat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9" fillId="0" borderId="5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2" fontId="58" fillId="0" borderId="6" xfId="0" applyNumberFormat="1" applyFont="1" applyBorder="1" applyAlignment="1">
      <alignment horizontal="right"/>
    </xf>
    <xf numFmtId="0" fontId="6" fillId="0" borderId="62" xfId="0" applyFont="1" applyBorder="1" applyAlignment="1">
      <alignment horizontal="justify" vertical="top" wrapText="1"/>
    </xf>
    <xf numFmtId="4" fontId="6" fillId="0" borderId="63" xfId="0" applyNumberFormat="1" applyFont="1" applyBorder="1" applyAlignment="1">
      <alignment horizontal="justify" vertical="top" wrapText="1"/>
    </xf>
    <xf numFmtId="0" fontId="6" fillId="0" borderId="64" xfId="0" applyFont="1" applyBorder="1" applyAlignment="1">
      <alignment horizontal="justify" vertical="top" wrapText="1"/>
    </xf>
    <xf numFmtId="10" fontId="6" fillId="0" borderId="65" xfId="0" applyNumberFormat="1" applyFont="1" applyBorder="1" applyAlignment="1">
      <alignment horizontal="justify" vertical="top" wrapText="1"/>
    </xf>
    <xf numFmtId="10" fontId="6" fillId="0" borderId="6" xfId="0" applyNumberFormat="1" applyFont="1" applyBorder="1" applyAlignment="1">
      <alignment horizontal="justify" vertical="top" wrapText="1"/>
    </xf>
    <xf numFmtId="2" fontId="27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171" fontId="27" fillId="0" borderId="0" xfId="0" applyNumberFormat="1" applyFont="1" applyBorder="1"/>
    <xf numFmtId="2" fontId="6" fillId="0" borderId="6" xfId="0" applyNumberFormat="1" applyFont="1" applyBorder="1" applyAlignment="1">
      <alignment horizontal="right"/>
    </xf>
    <xf numFmtId="2" fontId="58" fillId="6" borderId="6" xfId="0" applyNumberFormat="1" applyFont="1" applyFill="1" applyBorder="1" applyAlignment="1">
      <alignment horizontal="right"/>
    </xf>
    <xf numFmtId="0" fontId="17" fillId="0" borderId="32" xfId="0" applyFont="1" applyFill="1" applyBorder="1" applyAlignment="1">
      <alignment horizontal="right"/>
    </xf>
    <xf numFmtId="170" fontId="58" fillId="0" borderId="6" xfId="0" applyNumberFormat="1" applyFont="1" applyBorder="1" applyAlignment="1">
      <alignment horizontal="right"/>
    </xf>
    <xf numFmtId="170" fontId="58" fillId="6" borderId="6" xfId="0" applyNumberFormat="1" applyFont="1" applyFill="1" applyBorder="1" applyAlignment="1">
      <alignment horizontal="right"/>
    </xf>
    <xf numFmtId="4" fontId="58" fillId="6" borderId="6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9" fillId="0" borderId="7" xfId="0" applyFont="1" applyFill="1" applyBorder="1"/>
    <xf numFmtId="2" fontId="10" fillId="2" borderId="5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6" borderId="6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2" fontId="10" fillId="2" borderId="6" xfId="0" applyNumberFormat="1" applyFont="1" applyFill="1" applyBorder="1" applyAlignment="1">
      <alignment horizontal="right"/>
    </xf>
    <xf numFmtId="10" fontId="10" fillId="2" borderId="6" xfId="0" applyNumberFormat="1" applyFont="1" applyFill="1" applyBorder="1" applyAlignment="1">
      <alignment horizontal="right"/>
    </xf>
    <xf numFmtId="0" fontId="10" fillId="2" borderId="36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/>
    <xf numFmtId="0" fontId="10" fillId="2" borderId="5" xfId="0" applyFont="1" applyFill="1" applyBorder="1" applyAlignment="1">
      <alignment horizontal="justify"/>
    </xf>
    <xf numFmtId="2" fontId="10" fillId="2" borderId="6" xfId="0" applyNumberFormat="1" applyFont="1" applyFill="1" applyBorder="1" applyAlignment="1">
      <alignment horizontal="center"/>
    </xf>
    <xf numFmtId="10" fontId="10" fillId="2" borderId="6" xfId="0" applyNumberFormat="1" applyFont="1" applyFill="1" applyBorder="1" applyAlignment="1">
      <alignment horizontal="center"/>
    </xf>
    <xf numFmtId="4" fontId="10" fillId="2" borderId="6" xfId="0" applyNumberFormat="1" applyFont="1" applyFill="1" applyBorder="1" applyAlignment="1">
      <alignment horizontal="right"/>
    </xf>
    <xf numFmtId="2" fontId="0" fillId="0" borderId="23" xfId="0" applyNumberFormat="1" applyBorder="1" applyAlignment="1">
      <alignment wrapText="1"/>
    </xf>
    <xf numFmtId="0" fontId="19" fillId="0" borderId="32" xfId="0" applyFont="1" applyBorder="1" applyAlignment="1">
      <alignment horizontal="right"/>
    </xf>
    <xf numFmtId="2" fontId="58" fillId="0" borderId="36" xfId="0" applyNumberFormat="1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2" fontId="58" fillId="0" borderId="7" xfId="0" applyNumberFormat="1" applyFont="1" applyBorder="1" applyAlignment="1">
      <alignment horizontal="right"/>
    </xf>
    <xf numFmtId="3" fontId="58" fillId="6" borderId="6" xfId="0" applyNumberFormat="1" applyFont="1" applyFill="1" applyBorder="1" applyAlignment="1">
      <alignment horizontal="right"/>
    </xf>
    <xf numFmtId="3" fontId="58" fillId="0" borderId="6" xfId="0" applyNumberFormat="1" applyFont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0" fillId="0" borderId="40" xfId="0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justify" vertical="center" wrapText="1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7" xfId="0" applyFont="1" applyFill="1" applyBorder="1" applyAlignment="1">
      <alignment horizontal="center" vertical="center" wrapText="1"/>
    </xf>
    <xf numFmtId="10" fontId="0" fillId="3" borderId="7" xfId="0" applyNumberFormat="1" applyFill="1" applyBorder="1" applyAlignment="1">
      <alignment horizontal="center" vertical="center"/>
    </xf>
    <xf numFmtId="0" fontId="6" fillId="3" borderId="7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170" fontId="0" fillId="0" borderId="7" xfId="0" applyNumberFormat="1" applyBorder="1"/>
    <xf numFmtId="0" fontId="5" fillId="0" borderId="0" xfId="0" applyFont="1" applyBorder="1"/>
    <xf numFmtId="0" fontId="0" fillId="0" borderId="34" xfId="0" applyBorder="1"/>
    <xf numFmtId="165" fontId="0" fillId="0" borderId="29" xfId="0" applyNumberFormat="1" applyBorder="1"/>
    <xf numFmtId="0" fontId="0" fillId="0" borderId="38" xfId="0" applyBorder="1"/>
    <xf numFmtId="2" fontId="0" fillId="0" borderId="6" xfId="0" applyNumberFormat="1" applyBorder="1"/>
    <xf numFmtId="0" fontId="1" fillId="0" borderId="0" xfId="33"/>
    <xf numFmtId="0" fontId="1" fillId="0" borderId="37" xfId="33" applyBorder="1"/>
    <xf numFmtId="0" fontId="1" fillId="0" borderId="38" xfId="33" applyBorder="1"/>
    <xf numFmtId="0" fontId="1" fillId="0" borderId="6" xfId="33" applyBorder="1"/>
    <xf numFmtId="0" fontId="63" fillId="0" borderId="23" xfId="33" applyFont="1" applyBorder="1" applyAlignment="1">
      <alignment wrapText="1"/>
    </xf>
    <xf numFmtId="0" fontId="63" fillId="0" borderId="22" xfId="33" applyFont="1" applyBorder="1" applyAlignment="1">
      <alignment wrapText="1"/>
    </xf>
    <xf numFmtId="0" fontId="63" fillId="0" borderId="24" xfId="33" applyFont="1" applyBorder="1" applyAlignment="1">
      <alignment wrapText="1"/>
    </xf>
    <xf numFmtId="0" fontId="1" fillId="0" borderId="8" xfId="33" applyBorder="1"/>
    <xf numFmtId="0" fontId="66" fillId="0" borderId="7" xfId="33" applyFont="1" applyBorder="1"/>
    <xf numFmtId="0" fontId="1" fillId="0" borderId="7" xfId="33" applyBorder="1" applyAlignment="1">
      <alignment wrapText="1"/>
    </xf>
    <xf numFmtId="0" fontId="1" fillId="0" borderId="7" xfId="33" applyBorder="1"/>
    <xf numFmtId="0" fontId="67" fillId="0" borderId="0" xfId="33" applyFont="1"/>
    <xf numFmtId="0" fontId="66" fillId="0" borderId="0" xfId="33" applyFont="1"/>
    <xf numFmtId="10" fontId="1" fillId="0" borderId="7" xfId="33" applyNumberFormat="1" applyBorder="1"/>
    <xf numFmtId="9" fontId="1" fillId="0" borderId="7" xfId="33" applyNumberFormat="1" applyBorder="1"/>
    <xf numFmtId="0" fontId="1" fillId="0" borderId="10" xfId="33" applyBorder="1"/>
    <xf numFmtId="0" fontId="1" fillId="0" borderId="11" xfId="33" applyBorder="1"/>
    <xf numFmtId="0" fontId="39" fillId="0" borderId="0" xfId="33" applyFont="1"/>
    <xf numFmtId="172" fontId="70" fillId="8" borderId="0" xfId="13" applyNumberFormat="1" applyFont="1" applyFill="1"/>
    <xf numFmtId="2" fontId="5" fillId="0" borderId="0" xfId="0" applyNumberFormat="1" applyFont="1"/>
    <xf numFmtId="173" fontId="0" fillId="0" borderId="0" xfId="0" applyNumberFormat="1"/>
    <xf numFmtId="174" fontId="0" fillId="9" borderId="0" xfId="14" applyNumberFormat="1" applyFont="1" applyFill="1"/>
    <xf numFmtId="10" fontId="9" fillId="0" borderId="0" xfId="6" applyNumberFormat="1" applyFont="1"/>
    <xf numFmtId="0" fontId="0" fillId="0" borderId="0" xfId="15" applyNumberFormat="1" applyFont="1"/>
    <xf numFmtId="0" fontId="5" fillId="0" borderId="23" xfId="0" applyFont="1" applyBorder="1"/>
    <xf numFmtId="0" fontId="5" fillId="0" borderId="22" xfId="0" applyFont="1" applyBorder="1"/>
    <xf numFmtId="0" fontId="5" fillId="0" borderId="24" xfId="0" applyFont="1" applyBorder="1"/>
    <xf numFmtId="174" fontId="0" fillId="0" borderId="7" xfId="14" applyNumberFormat="1" applyFont="1" applyBorder="1"/>
    <xf numFmtId="174" fontId="0" fillId="0" borderId="9" xfId="14" applyNumberFormat="1" applyFont="1" applyBorder="1"/>
    <xf numFmtId="174" fontId="0" fillId="0" borderId="0" xfId="14" applyNumberFormat="1" applyFont="1"/>
    <xf numFmtId="0" fontId="5" fillId="3" borderId="8" xfId="0" applyFont="1" applyFill="1" applyBorder="1"/>
    <xf numFmtId="174" fontId="5" fillId="3" borderId="7" xfId="14" applyNumberFormat="1" applyFont="1" applyFill="1" applyBorder="1"/>
    <xf numFmtId="174" fontId="0" fillId="3" borderId="7" xfId="14" applyNumberFormat="1" applyFont="1" applyFill="1" applyBorder="1"/>
    <xf numFmtId="174" fontId="0" fillId="3" borderId="9" xfId="14" applyNumberFormat="1" applyFont="1" applyFill="1" applyBorder="1"/>
    <xf numFmtId="174" fontId="0" fillId="3" borderId="0" xfId="14" applyNumberFormat="1" applyFont="1" applyFill="1"/>
    <xf numFmtId="175" fontId="0" fillId="0" borderId="0" xfId="14" applyNumberFormat="1" applyFont="1"/>
    <xf numFmtId="174" fontId="0" fillId="0" borderId="0" xfId="0" applyNumberFormat="1"/>
    <xf numFmtId="174" fontId="0" fillId="10" borderId="0" xfId="0" applyNumberFormat="1" applyFill="1"/>
    <xf numFmtId="0" fontId="0" fillId="10" borderId="0" xfId="0" applyFill="1"/>
    <xf numFmtId="176" fontId="0" fillId="11" borderId="0" xfId="0" applyNumberFormat="1" applyFill="1"/>
    <xf numFmtId="0" fontId="0" fillId="11" borderId="0" xfId="0" applyFill="1"/>
    <xf numFmtId="0" fontId="5" fillId="12" borderId="8" xfId="0" applyFont="1" applyFill="1" applyBorder="1"/>
    <xf numFmtId="174" fontId="5" fillId="12" borderId="7" xfId="14" applyNumberFormat="1" applyFont="1" applyFill="1" applyBorder="1"/>
    <xf numFmtId="174" fontId="0" fillId="12" borderId="7" xfId="14" applyNumberFormat="1" applyFont="1" applyFill="1" applyBorder="1"/>
    <xf numFmtId="174" fontId="0" fillId="12" borderId="9" xfId="14" applyNumberFormat="1" applyFont="1" applyFill="1" applyBorder="1"/>
    <xf numFmtId="174" fontId="0" fillId="12" borderId="0" xfId="14" applyNumberFormat="1" applyFont="1" applyFill="1"/>
    <xf numFmtId="174" fontId="9" fillId="0" borderId="7" xfId="0" applyNumberFormat="1" applyFont="1" applyBorder="1"/>
    <xf numFmtId="177" fontId="22" fillId="0" borderId="0" xfId="0" applyNumberFormat="1" applyFont="1"/>
    <xf numFmtId="174" fontId="0" fillId="0" borderId="7" xfId="0" applyNumberFormat="1" applyBorder="1"/>
    <xf numFmtId="0" fontId="5" fillId="13" borderId="8" xfId="0" applyFont="1" applyFill="1" applyBorder="1"/>
    <xf numFmtId="174" fontId="5" fillId="13" borderId="7" xfId="14" applyNumberFormat="1" applyFont="1" applyFill="1" applyBorder="1"/>
    <xf numFmtId="174" fontId="0" fillId="13" borderId="7" xfId="14" applyNumberFormat="1" applyFont="1" applyFill="1" applyBorder="1"/>
    <xf numFmtId="174" fontId="0" fillId="13" borderId="9" xfId="14" applyNumberFormat="1" applyFont="1" applyFill="1" applyBorder="1"/>
    <xf numFmtId="174" fontId="0" fillId="13" borderId="0" xfId="14" applyNumberFormat="1" applyFont="1" applyFill="1"/>
    <xf numFmtId="0" fontId="5" fillId="14" borderId="8" xfId="0" applyFont="1" applyFill="1" applyBorder="1"/>
    <xf numFmtId="174" fontId="5" fillId="14" borderId="7" xfId="14" applyNumberFormat="1" applyFont="1" applyFill="1" applyBorder="1"/>
    <xf numFmtId="174" fontId="0" fillId="14" borderId="7" xfId="14" applyNumberFormat="1" applyFont="1" applyFill="1" applyBorder="1"/>
    <xf numFmtId="174" fontId="0" fillId="14" borderId="9" xfId="14" applyNumberFormat="1" applyFont="1" applyFill="1" applyBorder="1"/>
    <xf numFmtId="174" fontId="0" fillId="14" borderId="0" xfId="14" applyNumberFormat="1" applyFont="1" applyFill="1"/>
    <xf numFmtId="0" fontId="5" fillId="15" borderId="8" xfId="0" applyFont="1" applyFill="1" applyBorder="1"/>
    <xf numFmtId="174" fontId="5" fillId="15" borderId="7" xfId="14" applyNumberFormat="1" applyFont="1" applyFill="1" applyBorder="1"/>
    <xf numFmtId="174" fontId="0" fillId="15" borderId="7" xfId="14" applyNumberFormat="1" applyFont="1" applyFill="1" applyBorder="1"/>
    <xf numFmtId="174" fontId="0" fillId="15" borderId="9" xfId="14" applyNumberFormat="1" applyFont="1" applyFill="1" applyBorder="1"/>
    <xf numFmtId="174" fontId="0" fillId="15" borderId="0" xfId="14" applyNumberFormat="1" applyFont="1" applyFill="1"/>
    <xf numFmtId="0" fontId="5" fillId="15" borderId="10" xfId="0" applyFont="1" applyFill="1" applyBorder="1"/>
    <xf numFmtId="174" fontId="5" fillId="15" borderId="11" xfId="14" applyNumberFormat="1" applyFont="1" applyFill="1" applyBorder="1"/>
    <xf numFmtId="174" fontId="0" fillId="15" borderId="11" xfId="14" applyNumberFormat="1" applyFont="1" applyFill="1" applyBorder="1"/>
    <xf numFmtId="174" fontId="0" fillId="15" borderId="12" xfId="14" applyNumberFormat="1" applyFont="1" applyFill="1" applyBorder="1"/>
    <xf numFmtId="0" fontId="5" fillId="0" borderId="0" xfId="0" applyFont="1" applyFill="1"/>
    <xf numFmtId="174" fontId="5" fillId="0" borderId="0" xfId="14" applyNumberFormat="1" applyFont="1"/>
    <xf numFmtId="174" fontId="5" fillId="0" borderId="0" xfId="0" applyNumberFormat="1" applyFont="1"/>
    <xf numFmtId="0" fontId="1" fillId="0" borderId="5" xfId="33" applyBorder="1" applyAlignment="1">
      <alignment horizontal="center"/>
    </xf>
    <xf numFmtId="0" fontId="1" fillId="0" borderId="0" xfId="33" applyBorder="1" applyAlignment="1">
      <alignment horizontal="center"/>
    </xf>
    <xf numFmtId="0" fontId="35" fillId="0" borderId="5" xfId="33" applyFont="1" applyBorder="1" applyAlignment="1">
      <alignment horizontal="center"/>
    </xf>
    <xf numFmtId="0" fontId="1" fillId="0" borderId="5" xfId="33" applyBorder="1" applyAlignment="1">
      <alignment horizontal="center" wrapText="1"/>
    </xf>
    <xf numFmtId="0" fontId="71" fillId="0" borderId="68" xfId="33" applyFont="1" applyBorder="1" applyAlignment="1">
      <alignment wrapText="1"/>
    </xf>
    <xf numFmtId="9" fontId="71" fillId="0" borderId="45" xfId="33" applyNumberFormat="1" applyFont="1" applyBorder="1"/>
    <xf numFmtId="1" fontId="71" fillId="0" borderId="68" xfId="33" applyNumberFormat="1" applyFont="1" applyBorder="1"/>
    <xf numFmtId="0" fontId="71" fillId="0" borderId="69" xfId="33" applyFont="1" applyBorder="1" applyAlignment="1">
      <alignment horizontal="center"/>
    </xf>
    <xf numFmtId="0" fontId="71" fillId="0" borderId="45" xfId="33" applyFont="1" applyBorder="1" applyAlignment="1">
      <alignment horizontal="justify"/>
    </xf>
    <xf numFmtId="0" fontId="71" fillId="0" borderId="70" xfId="33" applyFont="1" applyBorder="1" applyAlignment="1">
      <alignment wrapText="1"/>
    </xf>
    <xf numFmtId="1" fontId="71" fillId="0" borderId="70" xfId="33" applyNumberFormat="1" applyFont="1" applyBorder="1"/>
    <xf numFmtId="0" fontId="71" fillId="0" borderId="45" xfId="33" applyFont="1" applyBorder="1" applyAlignment="1">
      <alignment horizontal="center"/>
    </xf>
    <xf numFmtId="0" fontId="35" fillId="0" borderId="70" xfId="33" applyFont="1" applyBorder="1" applyAlignment="1">
      <alignment wrapText="1"/>
    </xf>
    <xf numFmtId="0" fontId="71" fillId="0" borderId="45" xfId="33" applyFont="1" applyBorder="1" applyAlignment="1">
      <alignment wrapText="1"/>
    </xf>
    <xf numFmtId="0" fontId="37" fillId="0" borderId="45" xfId="33" applyFont="1" applyBorder="1" applyAlignment="1">
      <alignment horizontal="justify"/>
    </xf>
    <xf numFmtId="2" fontId="71" fillId="0" borderId="45" xfId="33" applyNumberFormat="1" applyFont="1" applyBorder="1" applyAlignment="1">
      <alignment horizontal="center"/>
    </xf>
    <xf numFmtId="9" fontId="71" fillId="0" borderId="45" xfId="33" applyNumberFormat="1" applyFont="1" applyBorder="1" applyAlignment="1">
      <alignment wrapText="1"/>
    </xf>
    <xf numFmtId="1" fontId="71" fillId="0" borderId="70" xfId="33" applyNumberFormat="1" applyFont="1" applyBorder="1" applyAlignment="1">
      <alignment wrapText="1"/>
    </xf>
    <xf numFmtId="2" fontId="71" fillId="0" borderId="45" xfId="33" applyNumberFormat="1" applyFont="1" applyBorder="1" applyAlignment="1">
      <alignment horizontal="center" wrapText="1"/>
    </xf>
    <xf numFmtId="3" fontId="1" fillId="0" borderId="7" xfId="33" applyNumberFormat="1" applyBorder="1"/>
    <xf numFmtId="0" fontId="1" fillId="0" borderId="0" xfId="33" applyAlignment="1">
      <alignment wrapText="1"/>
    </xf>
    <xf numFmtId="1" fontId="71" fillId="0" borderId="71" xfId="33" applyNumberFormat="1" applyFont="1" applyBorder="1"/>
    <xf numFmtId="1" fontId="71" fillId="0" borderId="45" xfId="33" applyNumberFormat="1" applyFont="1" applyBorder="1" applyAlignment="1">
      <alignment horizontal="center"/>
    </xf>
    <xf numFmtId="178" fontId="1" fillId="0" borderId="7" xfId="33" applyNumberFormat="1" applyBorder="1"/>
    <xf numFmtId="1" fontId="71" fillId="2" borderId="45" xfId="33" applyNumberFormat="1" applyFont="1" applyFill="1" applyBorder="1" applyAlignment="1">
      <alignment horizontal="center"/>
    </xf>
    <xf numFmtId="1" fontId="71" fillId="0" borderId="50" xfId="33" applyNumberFormat="1" applyFont="1" applyBorder="1"/>
    <xf numFmtId="0" fontId="73" fillId="0" borderId="70" xfId="33" applyFont="1" applyBorder="1" applyAlignment="1">
      <alignment wrapText="1"/>
    </xf>
    <xf numFmtId="0" fontId="71" fillId="0" borderId="28" xfId="33" applyFont="1" applyBorder="1" applyAlignment="1">
      <alignment wrapText="1"/>
    </xf>
    <xf numFmtId="9" fontId="74" fillId="0" borderId="51" xfId="33" applyNumberFormat="1" applyFont="1" applyBorder="1"/>
    <xf numFmtId="1" fontId="71" fillId="0" borderId="28" xfId="33" applyNumberFormat="1" applyFont="1" applyBorder="1"/>
    <xf numFmtId="9" fontId="71" fillId="0" borderId="51" xfId="34" applyFont="1" applyBorder="1" applyAlignment="1">
      <alignment horizontal="center"/>
    </xf>
    <xf numFmtId="0" fontId="71" fillId="0" borderId="51" xfId="33" applyFont="1" applyBorder="1" applyAlignment="1">
      <alignment wrapText="1"/>
    </xf>
    <xf numFmtId="0" fontId="21" fillId="0" borderId="5" xfId="0" applyFont="1" applyBorder="1" applyAlignment="1">
      <alignment horizontal="left" wrapText="1"/>
    </xf>
    <xf numFmtId="0" fontId="17" fillId="0" borderId="5" xfId="0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2" fontId="17" fillId="6" borderId="5" xfId="0" applyNumberFormat="1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60" fillId="0" borderId="5" xfId="0" applyNumberFormat="1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2" fontId="11" fillId="0" borderId="3" xfId="0" applyNumberFormat="1" applyFont="1" applyBorder="1" applyAlignment="1">
      <alignment horizontal="right"/>
    </xf>
    <xf numFmtId="10" fontId="11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/>
    <xf numFmtId="0" fontId="76" fillId="2" borderId="6" xfId="0" applyFont="1" applyFill="1" applyBorder="1" applyAlignment="1">
      <alignment horizontal="right"/>
    </xf>
    <xf numFmtId="2" fontId="76" fillId="0" borderId="6" xfId="0" applyNumberFormat="1" applyFont="1" applyBorder="1" applyAlignment="1">
      <alignment horizontal="right"/>
    </xf>
    <xf numFmtId="0" fontId="76" fillId="2" borderId="2" xfId="0" applyFont="1" applyFill="1" applyBorder="1" applyAlignment="1">
      <alignment horizontal="left" wrapText="1"/>
    </xf>
    <xf numFmtId="2" fontId="76" fillId="2" borderId="6" xfId="0" applyNumberFormat="1" applyFont="1" applyFill="1" applyBorder="1" applyAlignment="1">
      <alignment horizontal="right"/>
    </xf>
    <xf numFmtId="0" fontId="76" fillId="0" borderId="6" xfId="0" applyFont="1" applyBorder="1" applyAlignment="1">
      <alignment horizontal="right"/>
    </xf>
    <xf numFmtId="0" fontId="76" fillId="2" borderId="2" xfId="0" applyFont="1" applyFill="1" applyBorder="1" applyAlignment="1">
      <alignment horizontal="left"/>
    </xf>
    <xf numFmtId="2" fontId="75" fillId="2" borderId="32" xfId="0" applyNumberFormat="1" applyFont="1" applyFill="1" applyBorder="1" applyAlignment="1">
      <alignment horizontal="center"/>
    </xf>
    <xf numFmtId="2" fontId="76" fillId="2" borderId="36" xfId="0" applyNumberFormat="1" applyFont="1" applyFill="1" applyBorder="1" applyAlignment="1">
      <alignment horizontal="right"/>
    </xf>
    <xf numFmtId="0" fontId="76" fillId="0" borderId="36" xfId="0" applyFont="1" applyBorder="1" applyAlignment="1">
      <alignment horizontal="right"/>
    </xf>
    <xf numFmtId="0" fontId="10" fillId="2" borderId="7" xfId="0" applyFont="1" applyFill="1" applyBorder="1"/>
    <xf numFmtId="0" fontId="75" fillId="2" borderId="2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wrapText="1"/>
    </xf>
    <xf numFmtId="0" fontId="11" fillId="0" borderId="20" xfId="3" applyFont="1" applyBorder="1"/>
    <xf numFmtId="173" fontId="11" fillId="0" borderId="20" xfId="35" applyNumberFormat="1" applyFont="1" applyBorder="1"/>
    <xf numFmtId="4" fontId="11" fillId="0" borderId="20" xfId="35" applyNumberFormat="1" applyFont="1" applyBorder="1"/>
    <xf numFmtId="0" fontId="10" fillId="0" borderId="0" xfId="3" applyFont="1"/>
    <xf numFmtId="0" fontId="11" fillId="0" borderId="14" xfId="3" applyFont="1" applyBorder="1"/>
    <xf numFmtId="173" fontId="11" fillId="0" borderId="14" xfId="35" applyNumberFormat="1" applyFont="1" applyBorder="1"/>
    <xf numFmtId="4" fontId="11" fillId="0" borderId="14" xfId="35" applyNumberFormat="1" applyFont="1" applyBorder="1"/>
    <xf numFmtId="0" fontId="10" fillId="0" borderId="48" xfId="3" applyFont="1" applyBorder="1"/>
    <xf numFmtId="4" fontId="10" fillId="0" borderId="48" xfId="3" applyNumberFormat="1" applyFont="1" applyBorder="1"/>
    <xf numFmtId="49" fontId="10" fillId="0" borderId="48" xfId="3" applyNumberFormat="1" applyFont="1" applyBorder="1" applyAlignment="1">
      <alignment horizontal="left"/>
    </xf>
    <xf numFmtId="4" fontId="10" fillId="0" borderId="48" xfId="35" applyNumberFormat="1" applyFont="1" applyBorder="1"/>
    <xf numFmtId="176" fontId="10" fillId="0" borderId="0" xfId="3" applyNumberFormat="1" applyFont="1"/>
    <xf numFmtId="49" fontId="10" fillId="0" borderId="48" xfId="3" applyNumberFormat="1" applyFont="1" applyBorder="1"/>
    <xf numFmtId="4" fontId="10" fillId="0" borderId="0" xfId="3" applyNumberFormat="1" applyFont="1"/>
    <xf numFmtId="4" fontId="10" fillId="0" borderId="20" xfId="35" applyNumberFormat="1" applyFont="1" applyBorder="1"/>
    <xf numFmtId="0" fontId="10" fillId="0" borderId="0" xfId="3" applyFont="1" applyBorder="1"/>
    <xf numFmtId="173" fontId="10" fillId="0" borderId="0" xfId="35" applyNumberFormat="1" applyFont="1" applyBorder="1"/>
    <xf numFmtId="4" fontId="11" fillId="0" borderId="0" xfId="35" quotePrefix="1" applyNumberFormat="1" applyFont="1" applyBorder="1"/>
    <xf numFmtId="0" fontId="10" fillId="0" borderId="20" xfId="3" applyFont="1" applyBorder="1"/>
    <xf numFmtId="4" fontId="10" fillId="0" borderId="41" xfId="35" applyNumberFormat="1" applyFont="1" applyBorder="1"/>
    <xf numFmtId="0" fontId="10" fillId="0" borderId="52" xfId="3" applyFont="1" applyBorder="1" applyAlignment="1">
      <alignment horizontal="left"/>
    </xf>
    <xf numFmtId="4" fontId="10" fillId="0" borderId="53" xfId="35" applyNumberFormat="1" applyFont="1" applyBorder="1"/>
    <xf numFmtId="4" fontId="11" fillId="0" borderId="53" xfId="35" applyNumberFormat="1" applyFont="1" applyBorder="1"/>
    <xf numFmtId="0" fontId="10" fillId="0" borderId="14" xfId="3" applyFont="1" applyBorder="1"/>
    <xf numFmtId="4" fontId="11" fillId="0" borderId="7" xfId="35" applyNumberFormat="1" applyFont="1" applyBorder="1"/>
    <xf numFmtId="4" fontId="11" fillId="0" borderId="20" xfId="3" applyNumberFormat="1" applyFont="1" applyBorder="1"/>
    <xf numFmtId="49" fontId="10" fillId="0" borderId="48" xfId="3" applyNumberFormat="1" applyFont="1" applyBorder="1" applyAlignment="1">
      <alignment horizontal="center"/>
    </xf>
    <xf numFmtId="0" fontId="10" fillId="0" borderId="48" xfId="3" applyFont="1" applyBorder="1" applyAlignment="1">
      <alignment horizontal="center"/>
    </xf>
    <xf numFmtId="0" fontId="77" fillId="0" borderId="48" xfId="3" applyFont="1" applyBorder="1"/>
    <xf numFmtId="0" fontId="11" fillId="0" borderId="20" xfId="3" applyFont="1" applyBorder="1" applyAlignment="1">
      <alignment horizontal="center"/>
    </xf>
    <xf numFmtId="4" fontId="11" fillId="0" borderId="73" xfId="35" applyNumberFormat="1" applyFont="1" applyBorder="1"/>
    <xf numFmtId="4" fontId="11" fillId="0" borderId="74" xfId="35" applyNumberFormat="1" applyFont="1" applyBorder="1"/>
    <xf numFmtId="0" fontId="11" fillId="0" borderId="7" xfId="3" applyFont="1" applyBorder="1"/>
    <xf numFmtId="0" fontId="11" fillId="0" borderId="7" xfId="3" applyFont="1" applyBorder="1" applyAlignment="1">
      <alignment horizontal="center"/>
    </xf>
    <xf numFmtId="0" fontId="10" fillId="0" borderId="52" xfId="3" applyFont="1" applyBorder="1" applyAlignment="1">
      <alignment horizontal="center"/>
    </xf>
    <xf numFmtId="4" fontId="11" fillId="0" borderId="72" xfId="3" applyNumberFormat="1" applyFont="1" applyBorder="1"/>
    <xf numFmtId="0" fontId="5" fillId="0" borderId="57" xfId="30" applyFont="1" applyFill="1" applyBorder="1" applyAlignment="1">
      <alignment wrapText="1"/>
    </xf>
    <xf numFmtId="4" fontId="9" fillId="0" borderId="57" xfId="30" applyNumberFormat="1" applyFont="1" applyBorder="1" applyAlignment="1">
      <alignment horizontal="right"/>
    </xf>
    <xf numFmtId="0" fontId="11" fillId="0" borderId="40" xfId="3" applyFont="1" applyBorder="1" applyAlignment="1"/>
    <xf numFmtId="0" fontId="10" fillId="0" borderId="40" xfId="3" applyFont="1" applyBorder="1" applyAlignment="1"/>
    <xf numFmtId="0" fontId="10" fillId="0" borderId="45" xfId="3" applyFont="1" applyBorder="1" applyAlignment="1"/>
    <xf numFmtId="173" fontId="11" fillId="0" borderId="20" xfId="35" applyNumberFormat="1" applyFont="1" applyBorder="1" applyAlignment="1">
      <alignment horizontal="center"/>
    </xf>
    <xf numFmtId="171" fontId="0" fillId="0" borderId="0" xfId="0" applyNumberFormat="1"/>
    <xf numFmtId="180" fontId="9" fillId="0" borderId="0" xfId="3" applyNumberFormat="1" applyFont="1"/>
    <xf numFmtId="173" fontId="9" fillId="0" borderId="48" xfId="35" applyNumberFormat="1" applyFont="1" applyBorder="1"/>
    <xf numFmtId="0" fontId="10" fillId="0" borderId="52" xfId="3" applyFont="1" applyBorder="1" applyAlignment="1">
      <alignment horizontal="left" wrapText="1"/>
    </xf>
    <xf numFmtId="0" fontId="10" fillId="0" borderId="52" xfId="3" applyFont="1" applyBorder="1" applyAlignment="1">
      <alignment wrapText="1"/>
    </xf>
    <xf numFmtId="0" fontId="77" fillId="0" borderId="48" xfId="3" applyFont="1" applyBorder="1" applyAlignment="1">
      <alignment wrapText="1"/>
    </xf>
    <xf numFmtId="181" fontId="9" fillId="0" borderId="48" xfId="35" applyNumberFormat="1" applyFont="1" applyBorder="1"/>
    <xf numFmtId="181" fontId="5" fillId="0" borderId="7" xfId="3" applyNumberFormat="1" applyFont="1" applyBorder="1" applyAlignment="1"/>
    <xf numFmtId="181" fontId="5" fillId="0" borderId="39" xfId="3" applyNumberFormat="1" applyFont="1" applyBorder="1" applyAlignment="1"/>
    <xf numFmtId="181" fontId="9" fillId="0" borderId="20" xfId="35" applyNumberFormat="1" applyFont="1" applyBorder="1"/>
    <xf numFmtId="181" fontId="9" fillId="0" borderId="53" xfId="35" applyNumberFormat="1" applyFont="1" applyBorder="1"/>
    <xf numFmtId="4" fontId="10" fillId="0" borderId="48" xfId="3" applyNumberFormat="1" applyFont="1" applyBorder="1" applyAlignment="1">
      <alignment horizontal="center"/>
    </xf>
    <xf numFmtId="4" fontId="77" fillId="0" borderId="48" xfId="3" applyNumberFormat="1" applyFont="1" applyBorder="1"/>
    <xf numFmtId="4" fontId="10" fillId="0" borderId="48" xfId="3" applyNumberFormat="1" applyFont="1" applyBorder="1" applyAlignment="1">
      <alignment horizontal="left"/>
    </xf>
    <xf numFmtId="4" fontId="11" fillId="0" borderId="7" xfId="3" applyNumberFormat="1" applyFont="1" applyBorder="1"/>
    <xf numFmtId="4" fontId="10" fillId="0" borderId="7" xfId="3" applyNumberFormat="1" applyFont="1" applyBorder="1"/>
    <xf numFmtId="4" fontId="10" fillId="0" borderId="0" xfId="3" applyNumberFormat="1" applyFont="1" applyBorder="1"/>
    <xf numFmtId="4" fontId="10" fillId="0" borderId="0" xfId="35" applyNumberFormat="1" applyFont="1" applyBorder="1"/>
    <xf numFmtId="4" fontId="11" fillId="0" borderId="14" xfId="3" applyNumberFormat="1" applyFont="1" applyBorder="1"/>
    <xf numFmtId="4" fontId="10" fillId="0" borderId="20" xfId="3" applyNumberFormat="1" applyFont="1" applyBorder="1"/>
    <xf numFmtId="4" fontId="10" fillId="0" borderId="52" xfId="3" applyNumberFormat="1" applyFont="1" applyBorder="1" applyAlignment="1">
      <alignment horizontal="left"/>
    </xf>
    <xf numFmtId="4" fontId="10" fillId="0" borderId="52" xfId="3" applyNumberFormat="1" applyFont="1" applyBorder="1"/>
    <xf numFmtId="4" fontId="11" fillId="0" borderId="52" xfId="3" applyNumberFormat="1" applyFont="1" applyBorder="1"/>
    <xf numFmtId="4" fontId="11" fillId="0" borderId="0" xfId="35" applyNumberFormat="1" applyFont="1" applyBorder="1"/>
    <xf numFmtId="4" fontId="5" fillId="0" borderId="57" xfId="30" applyNumberFormat="1" applyFont="1" applyFill="1" applyBorder="1" applyAlignment="1">
      <alignment horizontal="right"/>
    </xf>
    <xf numFmtId="4" fontId="9" fillId="0" borderId="57" xfId="30" applyNumberFormat="1" applyFont="1" applyFill="1" applyBorder="1" applyAlignment="1">
      <alignment horizontal="right"/>
    </xf>
    <xf numFmtId="4" fontId="55" fillId="0" borderId="57" xfId="0" applyNumberFormat="1" applyFont="1" applyBorder="1" applyAlignment="1">
      <alignment horizontal="right"/>
    </xf>
    <xf numFmtId="4" fontId="35" fillId="0" borderId="57" xfId="0" applyNumberFormat="1" applyFont="1" applyBorder="1" applyAlignment="1">
      <alignment horizontal="right"/>
    </xf>
    <xf numFmtId="4" fontId="56" fillId="0" borderId="57" xfId="0" applyNumberFormat="1" applyFon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0" fontId="0" fillId="0" borderId="75" xfId="0" applyBorder="1"/>
    <xf numFmtId="10" fontId="0" fillId="0" borderId="0" xfId="1" applyNumberFormat="1" applyFont="1"/>
    <xf numFmtId="2" fontId="60" fillId="3" borderId="5" xfId="0" applyNumberFormat="1" applyFont="1" applyFill="1" applyBorder="1" applyAlignment="1">
      <alignment horizontal="right"/>
    </xf>
    <xf numFmtId="2" fontId="0" fillId="0" borderId="0" xfId="0" applyNumberFormat="1" applyBorder="1"/>
    <xf numFmtId="2" fontId="16" fillId="0" borderId="4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left"/>
    </xf>
    <xf numFmtId="2" fontId="16" fillId="0" borderId="2" xfId="0" applyNumberFormat="1" applyFont="1" applyBorder="1" applyAlignment="1">
      <alignment horizontal="left"/>
    </xf>
    <xf numFmtId="2" fontId="16" fillId="0" borderId="0" xfId="0" applyNumberFormat="1" applyFont="1" applyBorder="1" applyAlignment="1">
      <alignment horizontal="left"/>
    </xf>
    <xf numFmtId="4" fontId="16" fillId="0" borderId="6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0" fontId="5" fillId="16" borderId="7" xfId="0" applyFont="1" applyFill="1" applyBorder="1"/>
    <xf numFmtId="0" fontId="0" fillId="17" borderId="7" xfId="0" applyFill="1" applyBorder="1"/>
    <xf numFmtId="2" fontId="0" fillId="17" borderId="7" xfId="0" applyNumberFormat="1" applyFill="1" applyBorder="1"/>
    <xf numFmtId="10" fontId="0" fillId="17" borderId="7" xfId="1" applyNumberFormat="1" applyFont="1" applyFill="1" applyBorder="1"/>
    <xf numFmtId="0" fontId="5" fillId="18" borderId="7" xfId="0" applyFont="1" applyFill="1" applyBorder="1"/>
    <xf numFmtId="0" fontId="0" fillId="18" borderId="7" xfId="0" applyFill="1" applyBorder="1"/>
    <xf numFmtId="0" fontId="51" fillId="0" borderId="7" xfId="0" applyFont="1" applyBorder="1"/>
    <xf numFmtId="0" fontId="79" fillId="14" borderId="7" xfId="0" applyFont="1" applyFill="1" applyBorder="1" applyAlignment="1">
      <alignment horizontal="center"/>
    </xf>
    <xf numFmtId="0" fontId="80" fillId="14" borderId="7" xfId="0" applyFont="1" applyFill="1" applyBorder="1" applyAlignment="1">
      <alignment horizontal="center"/>
    </xf>
    <xf numFmtId="2" fontId="0" fillId="17" borderId="7" xfId="1" applyNumberFormat="1" applyFont="1" applyFill="1" applyBorder="1"/>
    <xf numFmtId="10" fontId="0" fillId="2" borderId="0" xfId="1" applyNumberFormat="1" applyFont="1" applyFill="1"/>
    <xf numFmtId="0" fontId="0" fillId="2" borderId="0" xfId="0" applyFill="1"/>
    <xf numFmtId="0" fontId="9" fillId="2" borderId="0" xfId="0" applyFont="1" applyFill="1"/>
    <xf numFmtId="0" fontId="5" fillId="16" borderId="20" xfId="0" applyFont="1" applyFill="1" applyBorder="1"/>
    <xf numFmtId="0" fontId="5" fillId="2" borderId="0" xfId="0" applyFont="1" applyFill="1" applyBorder="1"/>
    <xf numFmtId="0" fontId="60" fillId="0" borderId="5" xfId="0" applyFont="1" applyBorder="1" applyAlignment="1">
      <alignment horizontal="center" wrapText="1"/>
    </xf>
    <xf numFmtId="2" fontId="60" fillId="2" borderId="5" xfId="0" applyNumberFormat="1" applyFont="1" applyFill="1" applyBorder="1" applyAlignment="1">
      <alignment horizontal="right"/>
    </xf>
    <xf numFmtId="4" fontId="17" fillId="0" borderId="5" xfId="0" applyNumberFormat="1" applyFont="1" applyBorder="1" applyAlignment="1">
      <alignment horizontal="right"/>
    </xf>
    <xf numFmtId="2" fontId="0" fillId="2" borderId="0" xfId="0" applyNumberFormat="1" applyFill="1" applyBorder="1"/>
    <xf numFmtId="0" fontId="0" fillId="2" borderId="0" xfId="0" applyFill="1" applyBorder="1"/>
    <xf numFmtId="0" fontId="9" fillId="2" borderId="0" xfId="0" applyFont="1" applyFill="1" applyBorder="1"/>
    <xf numFmtId="9" fontId="0" fillId="2" borderId="0" xfId="0" applyNumberFormat="1" applyFill="1" applyBorder="1"/>
    <xf numFmtId="0" fontId="51" fillId="0" borderId="0" xfId="0" applyFont="1" applyBorder="1"/>
    <xf numFmtId="4" fontId="0" fillId="0" borderId="76" xfId="0" applyNumberFormat="1" applyFill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0" fontId="8" fillId="0" borderId="59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169" fontId="0" fillId="0" borderId="77" xfId="0" applyNumberFormat="1" applyBorder="1"/>
    <xf numFmtId="0" fontId="71" fillId="0" borderId="45" xfId="33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5" fillId="14" borderId="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" fontId="10" fillId="0" borderId="7" xfId="3" applyNumberFormat="1" applyFont="1" applyBorder="1" applyAlignment="1">
      <alignment horizontal="center"/>
    </xf>
    <xf numFmtId="4" fontId="10" fillId="0" borderId="40" xfId="3" applyNumberFormat="1" applyFont="1" applyBorder="1" applyAlignment="1">
      <alignment horizontal="center"/>
    </xf>
    <xf numFmtId="4" fontId="10" fillId="0" borderId="45" xfId="3" applyNumberFormat="1" applyFont="1" applyBorder="1" applyAlignment="1">
      <alignment horizontal="center"/>
    </xf>
    <xf numFmtId="4" fontId="10" fillId="0" borderId="39" xfId="3" applyNumberFormat="1" applyFont="1" applyBorder="1" applyAlignment="1">
      <alignment horizontal="center"/>
    </xf>
    <xf numFmtId="0" fontId="12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78" fillId="0" borderId="0" xfId="0" applyFont="1" applyAlignment="1">
      <alignment horizontal="center"/>
    </xf>
    <xf numFmtId="4" fontId="11" fillId="0" borderId="40" xfId="3" applyNumberFormat="1" applyFont="1" applyBorder="1" applyAlignment="1">
      <alignment horizontal="left"/>
    </xf>
    <xf numFmtId="4" fontId="11" fillId="0" borderId="39" xfId="3" applyNumberFormat="1" applyFont="1" applyBorder="1" applyAlignment="1">
      <alignment horizontal="left"/>
    </xf>
    <xf numFmtId="0" fontId="12" fillId="0" borderId="20" xfId="3" applyFont="1" applyBorder="1" applyAlignment="1">
      <alignment horizontal="center"/>
    </xf>
    <xf numFmtId="0" fontId="12" fillId="0" borderId="14" xfId="3" applyFont="1" applyBorder="1" applyAlignment="1">
      <alignment horizontal="center"/>
    </xf>
    <xf numFmtId="4" fontId="11" fillId="0" borderId="20" xfId="3" applyNumberFormat="1" applyFont="1" applyBorder="1" applyAlignment="1">
      <alignment horizontal="center"/>
    </xf>
    <xf numFmtId="4" fontId="11" fillId="0" borderId="14" xfId="3" applyNumberFormat="1" applyFont="1" applyBorder="1" applyAlignment="1">
      <alignment horizontal="center"/>
    </xf>
    <xf numFmtId="4" fontId="10" fillId="0" borderId="40" xfId="3" applyNumberFormat="1" applyFont="1" applyBorder="1" applyAlignment="1">
      <alignment horizontal="left"/>
    </xf>
    <xf numFmtId="4" fontId="10" fillId="0" borderId="39" xfId="3" applyNumberFormat="1" applyFont="1" applyBorder="1" applyAlignment="1">
      <alignment horizontal="left"/>
    </xf>
    <xf numFmtId="0" fontId="78" fillId="0" borderId="69" xfId="0" applyFont="1" applyBorder="1" applyAlignment="1">
      <alignment horizontal="center"/>
    </xf>
    <xf numFmtId="181" fontId="8" fillId="0" borderId="40" xfId="35" applyNumberFormat="1" applyFont="1" applyBorder="1" applyAlignment="1">
      <alignment horizontal="center"/>
    </xf>
    <xf numFmtId="181" fontId="8" fillId="0" borderId="45" xfId="35" applyNumberFormat="1" applyFont="1" applyBorder="1" applyAlignment="1">
      <alignment horizontal="center"/>
    </xf>
    <xf numFmtId="181" fontId="8" fillId="0" borderId="39" xfId="35" applyNumberFormat="1" applyFont="1" applyBorder="1" applyAlignment="1">
      <alignment horizontal="center"/>
    </xf>
    <xf numFmtId="181" fontId="5" fillId="0" borderId="40" xfId="35" applyNumberFormat="1" applyFont="1" applyBorder="1" applyAlignment="1">
      <alignment horizontal="center"/>
    </xf>
    <xf numFmtId="181" fontId="5" fillId="0" borderId="45" xfId="35" applyNumberFormat="1" applyFont="1" applyBorder="1" applyAlignment="1">
      <alignment horizontal="center"/>
    </xf>
    <xf numFmtId="181" fontId="5" fillId="0" borderId="39" xfId="35" applyNumberFormat="1" applyFont="1" applyBorder="1" applyAlignment="1">
      <alignment horizontal="center"/>
    </xf>
    <xf numFmtId="0" fontId="11" fillId="14" borderId="40" xfId="0" applyFont="1" applyFill="1" applyBorder="1" applyAlignment="1">
      <alignment horizontal="center"/>
    </xf>
    <xf numFmtId="0" fontId="11" fillId="14" borderId="39" xfId="0" applyFont="1" applyFill="1" applyBorder="1" applyAlignment="1">
      <alignment horizontal="center"/>
    </xf>
    <xf numFmtId="0" fontId="34" fillId="0" borderId="0" xfId="11" applyFont="1" applyAlignment="1">
      <alignment horizontal="center" vertical="top" wrapText="1" shrinkToFit="1"/>
    </xf>
    <xf numFmtId="0" fontId="38" fillId="5" borderId="0" xfId="11" applyFont="1" applyFill="1" applyAlignment="1">
      <alignment horizontal="center" vertical="top" wrapText="1" shrinkToFit="1"/>
    </xf>
    <xf numFmtId="0" fontId="38" fillId="5" borderId="0" xfId="11" applyFont="1" applyFill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5" fillId="0" borderId="33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30" fillId="0" borderId="33" xfId="0" applyFont="1" applyBorder="1" applyAlignment="1">
      <alignment horizontal="center" wrapText="1"/>
    </xf>
    <xf numFmtId="0" fontId="30" fillId="0" borderId="37" xfId="0" applyFont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2" borderId="52" xfId="0" applyFill="1" applyBorder="1" applyAlignment="1">
      <alignment horizontal="center" wrapText="1"/>
    </xf>
    <xf numFmtId="0" fontId="11" fillId="0" borderId="4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9" fillId="0" borderId="0" xfId="12" applyFont="1" applyAlignment="1" applyProtection="1">
      <alignment horizontal="center" wrapText="1"/>
    </xf>
    <xf numFmtId="0" fontId="12" fillId="0" borderId="0" xfId="0" applyFont="1" applyAlignment="1">
      <alignment horizontal="center" wrapText="1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53" fillId="0" borderId="1" xfId="0" applyFont="1" applyBorder="1" applyAlignment="1">
      <alignment horizontal="center" wrapText="1"/>
    </xf>
    <xf numFmtId="0" fontId="53" fillId="0" borderId="55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0" fontId="64" fillId="0" borderId="33" xfId="33" applyFont="1" applyBorder="1" applyAlignment="1">
      <alignment horizontal="center"/>
    </xf>
    <xf numFmtId="0" fontId="64" fillId="0" borderId="34" xfId="33" applyFont="1" applyBorder="1" applyAlignment="1">
      <alignment horizontal="center"/>
    </xf>
    <xf numFmtId="0" fontId="64" fillId="0" borderId="29" xfId="33" applyFont="1" applyBorder="1" applyAlignment="1">
      <alignment horizontal="center"/>
    </xf>
    <xf numFmtId="0" fontId="65" fillId="0" borderId="35" xfId="33" applyFont="1" applyBorder="1" applyAlignment="1">
      <alignment horizontal="left"/>
    </xf>
    <xf numFmtId="0" fontId="65" fillId="0" borderId="0" xfId="33" applyFont="1" applyBorder="1" applyAlignment="1">
      <alignment horizontal="left"/>
    </xf>
    <xf numFmtId="0" fontId="65" fillId="0" borderId="36" xfId="33" applyFont="1" applyBorder="1" applyAlignment="1">
      <alignment horizontal="left"/>
    </xf>
    <xf numFmtId="0" fontId="1" fillId="0" borderId="21" xfId="33" applyBorder="1" applyAlignment="1">
      <alignment horizontal="center" vertical="center" wrapText="1"/>
    </xf>
    <xf numFmtId="0" fontId="1" fillId="0" borderId="66" xfId="33" applyBorder="1" applyAlignment="1">
      <alignment horizontal="center" vertical="center" wrapText="1"/>
    </xf>
    <xf numFmtId="0" fontId="1" fillId="0" borderId="15" xfId="33" applyBorder="1" applyAlignment="1">
      <alignment horizontal="center" vertical="center" wrapText="1"/>
    </xf>
    <xf numFmtId="0" fontId="63" fillId="0" borderId="26" xfId="33" applyFont="1" applyBorder="1" applyAlignment="1">
      <alignment horizontal="center"/>
    </xf>
    <xf numFmtId="0" fontId="1" fillId="0" borderId="39" xfId="33" applyBorder="1"/>
    <xf numFmtId="0" fontId="1" fillId="0" borderId="67" xfId="33" applyBorder="1" applyAlignment="1">
      <alignment horizontal="center" vertical="center" wrapText="1"/>
    </xf>
    <xf numFmtId="0" fontId="1" fillId="0" borderId="36" xfId="33" applyBorder="1"/>
    <xf numFmtId="0" fontId="1" fillId="0" borderId="6" xfId="33" applyBorder="1"/>
    <xf numFmtId="0" fontId="63" fillId="0" borderId="40" xfId="33" applyFont="1" applyBorder="1" applyAlignment="1">
      <alignment horizontal="center"/>
    </xf>
    <xf numFmtId="0" fontId="68" fillId="0" borderId="33" xfId="33" applyFont="1" applyBorder="1" applyAlignment="1">
      <alignment horizontal="center"/>
    </xf>
    <xf numFmtId="0" fontId="68" fillId="0" borderId="34" xfId="33" applyFont="1" applyBorder="1" applyAlignment="1">
      <alignment horizontal="center"/>
    </xf>
    <xf numFmtId="0" fontId="68" fillId="0" borderId="29" xfId="33" applyFont="1" applyBorder="1" applyAlignment="1">
      <alignment horizontal="center"/>
    </xf>
    <xf numFmtId="0" fontId="69" fillId="0" borderId="35" xfId="33" applyFont="1" applyBorder="1" applyAlignment="1">
      <alignment horizontal="left"/>
    </xf>
    <xf numFmtId="0" fontId="69" fillId="0" borderId="0" xfId="33" applyFont="1" applyBorder="1" applyAlignment="1">
      <alignment horizontal="left"/>
    </xf>
    <xf numFmtId="0" fontId="69" fillId="0" borderId="36" xfId="33" applyFont="1" applyBorder="1" applyAlignment="1">
      <alignment horizontal="left"/>
    </xf>
    <xf numFmtId="0" fontId="82" fillId="0" borderId="0" xfId="0" applyFont="1" applyFill="1" applyBorder="1" applyAlignment="1">
      <alignment horizontal="center"/>
    </xf>
    <xf numFmtId="0" fontId="83" fillId="0" borderId="0" xfId="0" applyFont="1" applyFill="1" applyBorder="1" applyAlignment="1"/>
    <xf numFmtId="0" fontId="82" fillId="0" borderId="0" xfId="36" applyFont="1" applyFill="1" applyBorder="1" applyAlignment="1">
      <alignment horizontal="center" wrapText="1"/>
    </xf>
    <xf numFmtId="0" fontId="9" fillId="0" borderId="7" xfId="0" applyFont="1" applyFill="1" applyBorder="1" applyAlignment="1"/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Border="1" applyAlignment="1"/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9" fontId="0" fillId="0" borderId="20" xfId="0" applyNumberFormat="1" applyBorder="1"/>
    <xf numFmtId="169" fontId="0" fillId="0" borderId="32" xfId="0" applyNumberFormat="1" applyBorder="1"/>
    <xf numFmtId="169" fontId="5" fillId="0" borderId="3" xfId="0" applyNumberFormat="1" applyFont="1" applyBorder="1"/>
    <xf numFmtId="169" fontId="5" fillId="0" borderId="5" xfId="0" applyNumberFormat="1" applyFont="1" applyBorder="1"/>
  </cellXfs>
  <cellStyles count="37">
    <cellStyle name="Hipervínculo" xfId="12" builtinId="8"/>
    <cellStyle name="Millares" xfId="2" builtinId="3"/>
    <cellStyle name="Millares [0] 2" xfId="5"/>
    <cellStyle name="Millares [0] 2 2" xfId="19"/>
    <cellStyle name="Millares [0] 2 3" xfId="27"/>
    <cellStyle name="Millares [0] 3" xfId="9"/>
    <cellStyle name="Millares [0] 4" xfId="14"/>
    <cellStyle name="Millares 2" xfId="4"/>
    <cellStyle name="Millares 2 2" xfId="18"/>
    <cellStyle name="Millares 2 3" xfId="26"/>
    <cellStyle name="Millares 3" xfId="8"/>
    <cellStyle name="Millares 4" xfId="13"/>
    <cellStyle name="Millares 5" xfId="24"/>
    <cellStyle name="Millares 6" xfId="35"/>
    <cellStyle name="Moneda 2" xfId="7"/>
    <cellStyle name="Moneda 2 2" xfId="21"/>
    <cellStyle name="Moneda 2 3" xfId="29"/>
    <cellStyle name="Moneda 3" xfId="10"/>
    <cellStyle name="Moneda 4" xfId="15"/>
    <cellStyle name="Normal" xfId="0" builtinId="0"/>
    <cellStyle name="Normal 2" xfId="3"/>
    <cellStyle name="Normal 2 2" xfId="17"/>
    <cellStyle name="Normal 2 3" xfId="25"/>
    <cellStyle name="Normal 3" xfId="11"/>
    <cellStyle name="Normal 3 2" xfId="22"/>
    <cellStyle name="Normal 4" xfId="16"/>
    <cellStyle name="Normal 4 2" xfId="23"/>
    <cellStyle name="Normal 5" xfId="30"/>
    <cellStyle name="Normal 6" xfId="31"/>
    <cellStyle name="Normal 7" xfId="33"/>
    <cellStyle name="Porcentual" xfId="1" builtinId="5"/>
    <cellStyle name="Porcentual 2" xfId="6"/>
    <cellStyle name="Porcentual 2 2" xfId="20"/>
    <cellStyle name="Porcentual 2 3" xfId="28"/>
    <cellStyle name="Porcentual 3" xfId="34"/>
    <cellStyle name="Porcentual 4" xfId="32"/>
    <cellStyle name="TableStyleLight1" xfId="36"/>
  </cellStyles>
  <dxfs count="56">
    <dxf>
      <alignment horizontal="center" vertical="center" textRotation="0" indent="0" relativeIndent="255" justifyLastLine="0" shrinkToFit="0" mergeCell="0" readingOrder="0"/>
      <border outline="0">
        <left style="thin">
          <color indexed="64"/>
        </left>
      </border>
    </dxf>
    <dxf>
      <alignment horizontal="left" vertical="center" textRotation="0" wrapText="1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relativeIndent="255" justifyLastLine="0" shrinkToFit="0" mergeCell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71" formatCode="#.##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71" formatCode="#.##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relativeIndent="0" justifyLastLine="0" shrinkToFit="0" mergeCell="0" readingOrder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70" formatCode="0.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70" formatCode="0.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31</xdr:row>
      <xdr:rowOff>38099</xdr:rowOff>
    </xdr:from>
    <xdr:to>
      <xdr:col>2</xdr:col>
      <xdr:colOff>1590675</xdr:colOff>
      <xdr:row>33</xdr:row>
      <xdr:rowOff>276224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6838949"/>
          <a:ext cx="1181100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257174</xdr:colOff>
      <xdr:row>0</xdr:row>
      <xdr:rowOff>0</xdr:rowOff>
    </xdr:from>
    <xdr:to>
      <xdr:col>2</xdr:col>
      <xdr:colOff>1466849</xdr:colOff>
      <xdr:row>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4" y="0"/>
          <a:ext cx="1209675" cy="809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rocho%20flujo%20individ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/PRESUPUESTO%20CENTRO%20DE%20ACOP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financiamiento"/>
      <sheetName val="depreciación"/>
      <sheetName val="computación"/>
      <sheetName val="equi. oficina"/>
      <sheetName val="muebles enseres"/>
      <sheetName val="SUELDOS"/>
      <sheetName val="MAQ Y EQ"/>
      <sheetName val="DEMANDA ACTUAL"/>
      <sheetName val="PROYECCION DEMANDA"/>
      <sheetName val="DETERMINACION VTAS"/>
      <sheetName val="CAPACIDAD DE AHORRO"/>
      <sheetName val="bnf"/>
      <sheetName val="listado socios"/>
      <sheetName val="tabla ingrsos coop"/>
      <sheetName val="ingresos centro"/>
      <sheetName val="PROYECCION INGRESOS TOT"/>
      <sheetName val="inflacion"/>
      <sheetName val="gtos fijos"/>
      <sheetName val="gtos variables"/>
      <sheetName val="compar. gtos"/>
      <sheetName val="B.INICIAL FONDO COOP"/>
      <sheetName val="B.INICIAL CENTRO ACOPIO"/>
      <sheetName val="B.INICIAL CONSOLIDADO"/>
      <sheetName val="calculo cuota ing"/>
      <sheetName val="RES. FOCOOP"/>
      <sheetName val="RES. cent.acopio"/>
      <sheetName val="PUNTO EQUILIBRIO"/>
      <sheetName val="FLUJO DE CAJA"/>
      <sheetName val="COSTO CAPITAL"/>
      <sheetName val="SIMBOLOGIA"/>
      <sheetName val="inversion fija y variable"/>
      <sheetName val="FLUJO AGRICULTOR"/>
      <sheetName val="PRECIOS QUINTALES"/>
      <sheetName val="flujo agricultor 1"/>
      <sheetName val="flujo de credito"/>
      <sheetName val="HOJA 1"/>
      <sheetName val="Hoja1"/>
      <sheetName val="flujo agr."/>
      <sheetName val="balance"/>
      <sheetName val="AMORT."/>
      <sheetName val="EERR"/>
      <sheetName val="kp"/>
      <sheetName val="FLUJO COOP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45">
          <cell r="M45">
            <v>449.85050394277732</v>
          </cell>
        </row>
      </sheetData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Hoja2"/>
      <sheetName val="Hoja3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Auxiliar 1"/>
      <sheetName val="Auxiliar 2"/>
      <sheetName val="Auxiliar 3"/>
      <sheetName val="Auxiliar 4"/>
      <sheetName val="Auxiliar 5"/>
      <sheetName val="Auxiliar 6"/>
      <sheetName val="MANO DE OBRA DE PROYECTO"/>
      <sheetName val="EQUIPO DE PROYECTO"/>
      <sheetName val="MATERIALES DE PROYEC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5">
          <cell r="G65">
            <v>1.2452000000000001</v>
          </cell>
        </row>
      </sheetData>
      <sheetData sheetId="7" refreshError="1"/>
      <sheetData sheetId="8">
        <row r="65">
          <cell r="G65">
            <v>71.878840000000011</v>
          </cell>
        </row>
      </sheetData>
      <sheetData sheetId="9" refreshError="1"/>
      <sheetData sheetId="10">
        <row r="65">
          <cell r="G65">
            <v>97.933440000000019</v>
          </cell>
        </row>
      </sheetData>
      <sheetData sheetId="11" refreshError="1"/>
      <sheetData sheetId="12">
        <row r="65">
          <cell r="G65">
            <v>2.9499800000000005</v>
          </cell>
        </row>
      </sheetData>
      <sheetData sheetId="13">
        <row r="65">
          <cell r="G65">
            <v>7.4728227200000008</v>
          </cell>
        </row>
      </sheetData>
      <sheetData sheetId="14">
        <row r="65">
          <cell r="G65">
            <v>4.4799699999999989</v>
          </cell>
        </row>
      </sheetData>
      <sheetData sheetId="15">
        <row r="65">
          <cell r="G65">
            <v>4.6860956560000009</v>
          </cell>
        </row>
      </sheetData>
      <sheetData sheetId="16">
        <row r="65">
          <cell r="G65">
            <v>2.7055600000000002</v>
          </cell>
        </row>
      </sheetData>
      <sheetData sheetId="17" refreshError="1"/>
      <sheetData sheetId="18" refreshError="1"/>
      <sheetData sheetId="19" refreshError="1"/>
      <sheetData sheetId="20">
        <row r="65">
          <cell r="G65">
            <v>9.4406400000000001</v>
          </cell>
        </row>
      </sheetData>
      <sheetData sheetId="21" refreshError="1"/>
      <sheetData sheetId="22" refreshError="1"/>
      <sheetData sheetId="23">
        <row r="65">
          <cell r="G65">
            <v>36.903789999999994</v>
          </cell>
        </row>
      </sheetData>
      <sheetData sheetId="24" refreshError="1"/>
      <sheetData sheetId="25" refreshError="1"/>
      <sheetData sheetId="26">
        <row r="65">
          <cell r="G65">
            <v>95.011828999999992</v>
          </cell>
        </row>
      </sheetData>
      <sheetData sheetId="27">
        <row r="65">
          <cell r="G65">
            <v>113.491829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ables/table1.xml><?xml version="1.0" encoding="utf-8"?>
<table xmlns="http://schemas.openxmlformats.org/spreadsheetml/2006/main" id="5" name="Tabla16" displayName="Tabla16" ref="A1:F16" totalsRowShown="0" headerRowDxfId="55" dataDxfId="54" tableBorderDxfId="53">
  <autoFilter ref="A1:F16">
    <filterColumn colId="3"/>
    <filterColumn colId="4"/>
    <filterColumn colId="5"/>
  </autoFilter>
  <tableColumns count="6">
    <tableColumn id="1" name="INDICADOR" dataDxfId="52" totalsRowDxfId="51"/>
    <tableColumn id="2" name="%" dataDxfId="50" totalsRowDxfId="49"/>
    <tableColumn id="3" name="POBLADORES" dataDxfId="48" totalsRowDxfId="47"/>
    <tableColumn id="4" name="CANTIDAD" dataDxfId="46" totalsRowDxfId="45"/>
    <tableColumn id="5" name="ESPECIFICACION" dataDxfId="44" totalsRowDxfId="43"/>
    <tableColumn id="6" name="FUENTE " dataDxfId="42" totalsRowDxfId="41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6:D9" totalsRowShown="0" tableBorderDxfId="40">
  <autoFilter ref="A6:D9"/>
  <tableColumns count="4">
    <tableColumn id="1" name="SECTOR" dataDxfId="39"/>
    <tableColumn id="2" name="POBLACION" dataDxfId="38"/>
    <tableColumn id="3" name="#  MIEMBROS DE UN HOGAR" dataDxfId="37"/>
    <tableColumn id="4" name="DEMANDA ACTUAL" dataDxfId="36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Tabla13" displayName="Tabla13" ref="A21:D23" totalsRowShown="0" headerRowDxfId="35" headerRowBorderDxfId="34" tableBorderDxfId="33">
  <tableColumns count="4">
    <tableColumn id="1" name="PRODUCTO" dataDxfId="32"/>
    <tableColumn id="2" name="VALOR CANASTA BASICA" dataDxfId="31"/>
    <tableColumn id="3" name="COSTO DE GASTO EN DOLARES DESTINADO A LEGUMINOSAS Y DERIVADOS" dataDxfId="30"/>
    <tableColumn id="4" name="VALOR EN DOLARES PARA ALIMENTOS CANASTA BASICA" dataDxfId="29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3" name="Tabla3" displayName="Tabla3" ref="A5:E12" totalsRowShown="0" headerRowDxfId="28" headerRowBorderDxfId="27" tableBorderDxfId="26" totalsRowBorderDxfId="25">
  <tableColumns count="5">
    <tableColumn id="1" name="AÑO" dataDxfId="24"/>
    <tableColumn id="2" name="DEMANDA" dataDxfId="23">
      <calculatedColumnFormula>+E5</calculatedColumnFormula>
    </tableColumn>
    <tableColumn id="3" name="T. C .P" dataDxfId="22"/>
    <tableColumn id="4" name="DEMANDA PROYECTADA" dataDxfId="21">
      <calculatedColumnFormula>+Tabla3[[#This Row],[DEMANDA]]*Tabla3[[#This Row],[T. C .P]]</calculatedColumnFormula>
    </tableColumn>
    <tableColumn id="5" name="TOTAL " dataDxfId="20">
      <calculatedColumnFormula>B6+D6</calculatedColumnFormula>
    </tableColumn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18" name="Tabla35" displayName="Tabla35" ref="A3:F8" totalsRowShown="0" headerRowDxfId="19" dataDxfId="17" headerRowBorderDxfId="18">
  <tableColumns count="6">
    <tableColumn id="1" name="CULTIVO" dataDxfId="16"/>
    <tableColumn id="2" name="PRECIO PROMEDIO QUINTALES  AGRICULTOR" dataDxfId="15" dataCellStyle="Porcentual">
      <calculatedColumnFormula>C4 -(C4*50%)</calculatedColumnFormula>
    </tableColumn>
    <tableColumn id="3" name="PRECIO PROMEDIO QUINTALES INTERMEDIARIO" dataDxfId="14"/>
    <tableColumn id="4" name="PRECIO PROMEDIO QUINTALES MAYORISTA" dataDxfId="13">
      <calculatedColumnFormula>C4*28%+C4</calculatedColumnFormula>
    </tableColumn>
    <tableColumn id="5" name="PRECIO PROMEDIO QUINTALES MINORISTA" dataDxfId="12">
      <calculatedColumnFormula>+Tabla35[[#This Row],[PRECIO PROMEDIO QUINTALES MAYORISTA]]*20%+D4</calculatedColumnFormula>
    </tableColumn>
    <tableColumn id="6" name="PRECIO PROMEDIO QUINTALES CONSUMIDOR FINAL" dataDxfId="11">
      <calculatedColumnFormula>+Tabla35[[#This Row],[PRECIO PROMEDIO QUINTALES MAYORISTA]]*10%+E4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23" name="Tabla1624" displayName="Tabla1624" ref="C14:E17" totalsRowShown="0" headerRowDxfId="10">
  <tableColumns count="3">
    <tableColumn id="1" name="Concepto" dataDxfId="9"/>
    <tableColumn id="2" name="VALOR EN USD" dataDxfId="8"/>
    <tableColumn id="3" name="PORCENTAJE" dataDxfId="7"/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id="4" name="Tabla4" displayName="Tabla4" ref="A5:B8" totalsRowShown="0" headerRowDxfId="6" dataDxfId="4" headerRowBorderDxfId="5" tableBorderDxfId="3" totalsRowBorderDxfId="2">
  <autoFilter ref="A5:B8"/>
  <tableColumns count="2">
    <tableColumn id="1" name="DETALLE INGRESOS" dataDxfId="1"/>
    <tableColumn id="2" name="VALORES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2.bin"/><Relationship Id="rId1" Type="http://schemas.openxmlformats.org/officeDocument/2006/relationships/vmlDrawing" Target="../drawings/vmlDrawing2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magap.gob.ec/sigagro/index.php?option=com_wrapper&amp;view=wrapper&amp;Itemid=97" TargetMode="External"/><Relationship Id="rId4" Type="http://schemas.openxmlformats.org/officeDocument/2006/relationships/comments" Target="../comments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8.bin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tabColor rgb="FFFFFF00"/>
  </sheetPr>
  <dimension ref="A1:E254"/>
  <sheetViews>
    <sheetView tabSelected="1" topLeftCell="A235" workbookViewId="0">
      <selection activeCell="C58" sqref="C58"/>
    </sheetView>
  </sheetViews>
  <sheetFormatPr baseColWidth="10" defaultRowHeight="12.75"/>
  <cols>
    <col min="1" max="1" width="7.5703125" customWidth="1"/>
    <col min="2" max="2" width="4.28515625" customWidth="1"/>
    <col min="3" max="3" width="55.28515625" bestFit="1" customWidth="1"/>
  </cols>
  <sheetData>
    <row r="1" spans="1:5" ht="13.5" thickBot="1">
      <c r="D1" s="798" t="s">
        <v>933</v>
      </c>
      <c r="E1" s="798" t="s">
        <v>934</v>
      </c>
    </row>
    <row r="2" spans="1:5" ht="53.25" customHeight="1" thickBot="1">
      <c r="A2" s="671" t="s">
        <v>112</v>
      </c>
      <c r="B2" s="672"/>
      <c r="C2" s="672"/>
      <c r="D2" s="799"/>
      <c r="E2" s="799"/>
    </row>
    <row r="3" spans="1:5" ht="36.75" customHeight="1">
      <c r="A3" s="85" t="s">
        <v>107</v>
      </c>
      <c r="B3" s="82">
        <v>1</v>
      </c>
      <c r="C3" s="82" t="s">
        <v>113</v>
      </c>
      <c r="D3" s="101">
        <v>15</v>
      </c>
      <c r="E3" s="101">
        <v>5</v>
      </c>
    </row>
    <row r="4" spans="1:5" ht="41.25" customHeight="1">
      <c r="A4" s="86" t="s">
        <v>108</v>
      </c>
      <c r="B4" s="83">
        <v>2</v>
      </c>
      <c r="C4" s="83" t="s">
        <v>111</v>
      </c>
      <c r="D4" s="101">
        <v>15</v>
      </c>
      <c r="E4" s="101">
        <v>5</v>
      </c>
    </row>
    <row r="5" spans="1:5" ht="38.25" customHeight="1" thickBot="1">
      <c r="A5" s="87" t="s">
        <v>109</v>
      </c>
      <c r="B5" s="83">
        <v>3</v>
      </c>
      <c r="C5" s="83" t="s">
        <v>110</v>
      </c>
      <c r="D5" s="101">
        <v>15</v>
      </c>
      <c r="E5" s="101">
        <v>5</v>
      </c>
    </row>
    <row r="6" spans="1:5">
      <c r="B6" s="83">
        <v>4</v>
      </c>
      <c r="C6" s="83" t="s">
        <v>114</v>
      </c>
      <c r="D6" s="101">
        <v>15</v>
      </c>
      <c r="E6" s="101">
        <v>5</v>
      </c>
    </row>
    <row r="7" spans="1:5">
      <c r="B7" s="83">
        <v>5</v>
      </c>
      <c r="C7" s="83" t="s">
        <v>115</v>
      </c>
      <c r="D7" s="101">
        <v>15</v>
      </c>
      <c r="E7" s="101">
        <v>5</v>
      </c>
    </row>
    <row r="8" spans="1:5">
      <c r="B8" s="83">
        <v>6</v>
      </c>
      <c r="C8" s="83" t="s">
        <v>116</v>
      </c>
      <c r="D8" s="101">
        <v>15</v>
      </c>
      <c r="E8" s="101">
        <v>5</v>
      </c>
    </row>
    <row r="9" spans="1:5">
      <c r="B9" s="83">
        <v>7</v>
      </c>
      <c r="C9" s="83" t="s">
        <v>117</v>
      </c>
      <c r="D9" s="101">
        <v>15</v>
      </c>
      <c r="E9" s="101">
        <v>5</v>
      </c>
    </row>
    <row r="10" spans="1:5">
      <c r="B10" s="83">
        <v>8</v>
      </c>
      <c r="C10" s="83" t="s">
        <v>118</v>
      </c>
      <c r="D10" s="101">
        <v>15</v>
      </c>
      <c r="E10" s="101">
        <v>5</v>
      </c>
    </row>
    <row r="11" spans="1:5">
      <c r="B11" s="83">
        <v>9</v>
      </c>
      <c r="C11" s="83" t="s">
        <v>119</v>
      </c>
      <c r="D11" s="101">
        <v>15</v>
      </c>
      <c r="E11" s="101">
        <v>5</v>
      </c>
    </row>
    <row r="12" spans="1:5">
      <c r="B12" s="83">
        <v>10</v>
      </c>
      <c r="C12" s="83" t="s">
        <v>120</v>
      </c>
      <c r="D12" s="101">
        <v>15</v>
      </c>
      <c r="E12" s="101">
        <v>5</v>
      </c>
    </row>
    <row r="13" spans="1:5">
      <c r="B13" s="83">
        <v>11</v>
      </c>
      <c r="C13" s="83" t="s">
        <v>121</v>
      </c>
      <c r="D13" s="101">
        <v>15</v>
      </c>
      <c r="E13" s="101">
        <v>5</v>
      </c>
    </row>
    <row r="14" spans="1:5">
      <c r="B14" s="83">
        <v>12</v>
      </c>
      <c r="C14" s="83" t="s">
        <v>122</v>
      </c>
      <c r="D14" s="101">
        <v>15</v>
      </c>
      <c r="E14" s="101">
        <v>5</v>
      </c>
    </row>
    <row r="15" spans="1:5">
      <c r="B15" s="83">
        <v>13</v>
      </c>
      <c r="C15" s="83" t="s">
        <v>123</v>
      </c>
      <c r="D15" s="101">
        <v>15</v>
      </c>
      <c r="E15" s="101">
        <v>5</v>
      </c>
    </row>
    <row r="16" spans="1:5">
      <c r="B16" s="83">
        <v>14</v>
      </c>
      <c r="C16" s="83" t="s">
        <v>124</v>
      </c>
      <c r="D16" s="101">
        <v>15</v>
      </c>
      <c r="E16" s="101">
        <v>5</v>
      </c>
    </row>
    <row r="17" spans="2:5" ht="13.5" thickBot="1">
      <c r="B17" s="84">
        <v>15</v>
      </c>
      <c r="C17" s="629" t="s">
        <v>125</v>
      </c>
      <c r="D17" s="101">
        <v>15</v>
      </c>
      <c r="E17" s="101">
        <v>5</v>
      </c>
    </row>
    <row r="18" spans="2:5">
      <c r="B18" s="83">
        <v>16</v>
      </c>
      <c r="C18" s="795" t="s">
        <v>748</v>
      </c>
      <c r="D18" s="669">
        <v>15</v>
      </c>
      <c r="E18" s="101">
        <v>5</v>
      </c>
    </row>
    <row r="19" spans="2:5">
      <c r="B19" s="83">
        <v>17</v>
      </c>
      <c r="C19" s="795" t="s">
        <v>749</v>
      </c>
      <c r="D19" s="669">
        <v>15</v>
      </c>
      <c r="E19" s="101">
        <v>5</v>
      </c>
    </row>
    <row r="20" spans="2:5" ht="13.5" thickBot="1">
      <c r="B20" s="84">
        <v>18</v>
      </c>
      <c r="C20" s="795" t="s">
        <v>750</v>
      </c>
      <c r="D20" s="669">
        <v>15</v>
      </c>
      <c r="E20" s="101">
        <v>5</v>
      </c>
    </row>
    <row r="21" spans="2:5">
      <c r="B21" s="83">
        <v>19</v>
      </c>
      <c r="C21" s="795" t="s">
        <v>751</v>
      </c>
      <c r="D21" s="669">
        <v>15</v>
      </c>
      <c r="E21" s="101">
        <v>5</v>
      </c>
    </row>
    <row r="22" spans="2:5">
      <c r="B22" s="83">
        <v>20</v>
      </c>
      <c r="C22" s="795" t="s">
        <v>752</v>
      </c>
      <c r="D22" s="669">
        <v>15</v>
      </c>
      <c r="E22" s="101">
        <v>5</v>
      </c>
    </row>
    <row r="23" spans="2:5" ht="13.5" thickBot="1">
      <c r="B23" s="84">
        <v>21</v>
      </c>
      <c r="C23" s="795" t="s">
        <v>752</v>
      </c>
      <c r="D23" s="669">
        <v>15</v>
      </c>
      <c r="E23" s="101">
        <v>5</v>
      </c>
    </row>
    <row r="24" spans="2:5">
      <c r="B24" s="83">
        <v>22</v>
      </c>
      <c r="C24" s="795" t="s">
        <v>753</v>
      </c>
      <c r="D24" s="669">
        <v>15</v>
      </c>
      <c r="E24" s="101">
        <v>5</v>
      </c>
    </row>
    <row r="25" spans="2:5">
      <c r="B25" s="83">
        <v>23</v>
      </c>
      <c r="C25" s="795" t="s">
        <v>754</v>
      </c>
      <c r="D25" s="669">
        <v>15</v>
      </c>
      <c r="E25" s="101">
        <v>5</v>
      </c>
    </row>
    <row r="26" spans="2:5" ht="13.5" thickBot="1">
      <c r="B26" s="84">
        <v>24</v>
      </c>
      <c r="C26" s="795" t="s">
        <v>755</v>
      </c>
      <c r="D26" s="669">
        <v>15</v>
      </c>
      <c r="E26" s="101">
        <v>5</v>
      </c>
    </row>
    <row r="27" spans="2:5">
      <c r="B27" s="83">
        <v>25</v>
      </c>
      <c r="C27" s="795" t="s">
        <v>756</v>
      </c>
      <c r="D27" s="669">
        <v>15</v>
      </c>
      <c r="E27" s="101">
        <v>5</v>
      </c>
    </row>
    <row r="28" spans="2:5">
      <c r="B28" s="83">
        <v>26</v>
      </c>
      <c r="C28" s="795" t="s">
        <v>757</v>
      </c>
      <c r="D28" s="669">
        <v>15</v>
      </c>
      <c r="E28" s="101">
        <v>5</v>
      </c>
    </row>
    <row r="29" spans="2:5" ht="13.5" thickBot="1">
      <c r="B29" s="84">
        <v>27</v>
      </c>
      <c r="C29" s="795" t="s">
        <v>758</v>
      </c>
      <c r="D29" s="669">
        <v>15</v>
      </c>
      <c r="E29" s="101">
        <v>5</v>
      </c>
    </row>
    <row r="30" spans="2:5">
      <c r="B30" s="83">
        <v>28</v>
      </c>
      <c r="C30" s="795" t="s">
        <v>759</v>
      </c>
      <c r="D30" s="669">
        <v>15</v>
      </c>
      <c r="E30" s="101">
        <v>5</v>
      </c>
    </row>
    <row r="31" spans="2:5">
      <c r="B31" s="83">
        <v>29</v>
      </c>
      <c r="C31" s="795" t="s">
        <v>760</v>
      </c>
      <c r="D31" s="669">
        <v>15</v>
      </c>
      <c r="E31" s="101">
        <v>5</v>
      </c>
    </row>
    <row r="32" spans="2:5" ht="13.5" thickBot="1">
      <c r="B32" s="84">
        <v>30</v>
      </c>
      <c r="C32" s="795" t="s">
        <v>761</v>
      </c>
      <c r="D32" s="669">
        <v>15</v>
      </c>
      <c r="E32" s="101">
        <v>5</v>
      </c>
    </row>
    <row r="33" spans="2:5">
      <c r="B33" s="83">
        <v>31</v>
      </c>
      <c r="C33" s="795" t="s">
        <v>762</v>
      </c>
      <c r="D33" s="669">
        <v>15</v>
      </c>
      <c r="E33" s="101">
        <v>5</v>
      </c>
    </row>
    <row r="34" spans="2:5">
      <c r="B34" s="83">
        <v>32</v>
      </c>
      <c r="C34" s="795" t="s">
        <v>763</v>
      </c>
      <c r="D34" s="669">
        <v>15</v>
      </c>
      <c r="E34" s="101">
        <v>5</v>
      </c>
    </row>
    <row r="35" spans="2:5" ht="13.5" thickBot="1">
      <c r="B35" s="84">
        <v>33</v>
      </c>
      <c r="C35" s="795" t="s">
        <v>764</v>
      </c>
      <c r="D35" s="669">
        <v>15</v>
      </c>
      <c r="E35" s="101">
        <v>5</v>
      </c>
    </row>
    <row r="36" spans="2:5">
      <c r="B36" s="83">
        <v>34</v>
      </c>
      <c r="C36" s="795" t="s">
        <v>764</v>
      </c>
      <c r="D36" s="669">
        <v>15</v>
      </c>
      <c r="E36" s="101">
        <v>5</v>
      </c>
    </row>
    <row r="37" spans="2:5">
      <c r="B37" s="83">
        <v>35</v>
      </c>
      <c r="C37" s="795" t="s">
        <v>765</v>
      </c>
      <c r="D37" s="669">
        <v>15</v>
      </c>
      <c r="E37" s="101">
        <v>5</v>
      </c>
    </row>
    <row r="38" spans="2:5" ht="13.5" thickBot="1">
      <c r="B38" s="84">
        <v>36</v>
      </c>
      <c r="C38" s="795" t="s">
        <v>766</v>
      </c>
      <c r="D38" s="669">
        <v>15</v>
      </c>
      <c r="E38" s="101">
        <v>5</v>
      </c>
    </row>
    <row r="39" spans="2:5">
      <c r="B39" s="83">
        <v>37</v>
      </c>
      <c r="C39" s="795" t="s">
        <v>767</v>
      </c>
      <c r="D39" s="669">
        <v>15</v>
      </c>
      <c r="E39" s="101">
        <v>5</v>
      </c>
    </row>
    <row r="40" spans="2:5">
      <c r="B40" s="83">
        <v>38</v>
      </c>
      <c r="C40" s="795" t="s">
        <v>767</v>
      </c>
      <c r="D40" s="669">
        <v>15</v>
      </c>
      <c r="E40" s="101">
        <v>5</v>
      </c>
    </row>
    <row r="41" spans="2:5" ht="13.5" thickBot="1">
      <c r="B41" s="84">
        <v>39</v>
      </c>
      <c r="C41" s="795" t="s">
        <v>768</v>
      </c>
      <c r="D41" s="669">
        <v>15</v>
      </c>
      <c r="E41" s="101">
        <v>5</v>
      </c>
    </row>
    <row r="42" spans="2:5">
      <c r="B42" s="83">
        <v>40</v>
      </c>
      <c r="C42" s="795" t="s">
        <v>768</v>
      </c>
      <c r="D42" s="669">
        <v>15</v>
      </c>
      <c r="E42" s="101">
        <v>5</v>
      </c>
    </row>
    <row r="43" spans="2:5">
      <c r="B43" s="83">
        <v>41</v>
      </c>
      <c r="C43" s="795" t="s">
        <v>768</v>
      </c>
      <c r="D43" s="669">
        <v>15</v>
      </c>
      <c r="E43" s="101">
        <v>5</v>
      </c>
    </row>
    <row r="44" spans="2:5" ht="13.5" thickBot="1">
      <c r="B44" s="84">
        <v>42</v>
      </c>
      <c r="C44" s="795" t="s">
        <v>768</v>
      </c>
      <c r="D44" s="669">
        <v>15</v>
      </c>
      <c r="E44" s="101">
        <v>5</v>
      </c>
    </row>
    <row r="45" spans="2:5">
      <c r="B45" s="83">
        <v>43</v>
      </c>
      <c r="C45" s="795" t="s">
        <v>768</v>
      </c>
      <c r="D45" s="669">
        <v>15</v>
      </c>
      <c r="E45" s="101">
        <v>5</v>
      </c>
    </row>
    <row r="46" spans="2:5">
      <c r="B46" s="83">
        <v>44</v>
      </c>
      <c r="C46" s="795" t="s">
        <v>768</v>
      </c>
      <c r="D46" s="669">
        <v>15</v>
      </c>
      <c r="E46" s="101">
        <v>5</v>
      </c>
    </row>
    <row r="47" spans="2:5" ht="13.5" thickBot="1">
      <c r="B47" s="84">
        <v>45</v>
      </c>
      <c r="C47" s="795" t="s">
        <v>768</v>
      </c>
      <c r="D47" s="669">
        <v>15</v>
      </c>
      <c r="E47" s="101">
        <v>5</v>
      </c>
    </row>
    <row r="48" spans="2:5">
      <c r="B48" s="83">
        <v>46</v>
      </c>
      <c r="C48" s="795" t="s">
        <v>768</v>
      </c>
      <c r="D48" s="669">
        <v>15</v>
      </c>
      <c r="E48" s="101">
        <v>5</v>
      </c>
    </row>
    <row r="49" spans="2:5">
      <c r="B49" s="83">
        <v>47</v>
      </c>
      <c r="C49" s="795" t="s">
        <v>768</v>
      </c>
      <c r="D49" s="669">
        <v>15</v>
      </c>
      <c r="E49" s="101">
        <v>5</v>
      </c>
    </row>
    <row r="50" spans="2:5" ht="13.5" thickBot="1">
      <c r="B50" s="84">
        <v>48</v>
      </c>
      <c r="C50" s="795" t="s">
        <v>769</v>
      </c>
      <c r="D50" s="669">
        <v>15</v>
      </c>
      <c r="E50" s="101">
        <v>5</v>
      </c>
    </row>
    <row r="51" spans="2:5">
      <c r="B51" s="83">
        <v>49</v>
      </c>
      <c r="C51" s="795" t="s">
        <v>770</v>
      </c>
      <c r="D51" s="669">
        <v>15</v>
      </c>
      <c r="E51" s="101">
        <v>5</v>
      </c>
    </row>
    <row r="52" spans="2:5">
      <c r="B52" s="83">
        <v>50</v>
      </c>
      <c r="C52" s="795" t="s">
        <v>771</v>
      </c>
      <c r="D52" s="669">
        <v>15</v>
      </c>
      <c r="E52" s="101">
        <v>5</v>
      </c>
    </row>
    <row r="53" spans="2:5" ht="13.5" thickBot="1">
      <c r="B53" s="84">
        <v>51</v>
      </c>
      <c r="C53" s="795" t="s">
        <v>772</v>
      </c>
      <c r="D53" s="669">
        <v>15</v>
      </c>
      <c r="E53" s="101">
        <v>5</v>
      </c>
    </row>
    <row r="54" spans="2:5">
      <c r="B54" s="83">
        <v>52</v>
      </c>
      <c r="C54" s="795" t="s">
        <v>773</v>
      </c>
      <c r="D54" s="669">
        <v>15</v>
      </c>
      <c r="E54" s="101">
        <v>5</v>
      </c>
    </row>
    <row r="55" spans="2:5">
      <c r="B55" s="83">
        <v>53</v>
      </c>
      <c r="C55" s="795" t="s">
        <v>935</v>
      </c>
      <c r="D55" s="669">
        <v>15</v>
      </c>
      <c r="E55" s="101">
        <v>5</v>
      </c>
    </row>
    <row r="56" spans="2:5" ht="13.5" thickBot="1">
      <c r="B56" s="84">
        <v>54</v>
      </c>
      <c r="C56" s="795" t="s">
        <v>774</v>
      </c>
      <c r="D56" s="669">
        <v>15</v>
      </c>
      <c r="E56" s="101">
        <v>5</v>
      </c>
    </row>
    <row r="57" spans="2:5">
      <c r="B57" s="83">
        <v>55</v>
      </c>
      <c r="C57" s="795" t="s">
        <v>775</v>
      </c>
      <c r="D57" s="669">
        <v>15</v>
      </c>
      <c r="E57" s="101">
        <v>5</v>
      </c>
    </row>
    <row r="58" spans="2:5">
      <c r="B58" s="83">
        <v>56</v>
      </c>
      <c r="C58" s="795" t="s">
        <v>776</v>
      </c>
      <c r="D58" s="669">
        <v>15</v>
      </c>
      <c r="E58" s="101">
        <v>5</v>
      </c>
    </row>
    <row r="59" spans="2:5" ht="13.5" thickBot="1">
      <c r="B59" s="84">
        <v>57</v>
      </c>
      <c r="C59" s="795" t="s">
        <v>777</v>
      </c>
      <c r="D59" s="669">
        <v>15</v>
      </c>
      <c r="E59" s="101">
        <v>5</v>
      </c>
    </row>
    <row r="60" spans="2:5">
      <c r="B60" s="83">
        <v>58</v>
      </c>
      <c r="C60" s="795" t="s">
        <v>778</v>
      </c>
      <c r="D60" s="669">
        <v>15</v>
      </c>
      <c r="E60" s="101">
        <v>5</v>
      </c>
    </row>
    <row r="61" spans="2:5">
      <c r="B61" s="83">
        <v>59</v>
      </c>
      <c r="C61" s="795" t="s">
        <v>779</v>
      </c>
      <c r="D61" s="669">
        <v>15</v>
      </c>
      <c r="E61" s="101">
        <v>5</v>
      </c>
    </row>
    <row r="62" spans="2:5" ht="13.5" thickBot="1">
      <c r="B62" s="84">
        <v>60</v>
      </c>
      <c r="C62" s="795" t="s">
        <v>779</v>
      </c>
      <c r="D62" s="669">
        <v>15</v>
      </c>
      <c r="E62" s="101">
        <v>5</v>
      </c>
    </row>
    <row r="63" spans="2:5">
      <c r="B63" s="83">
        <v>61</v>
      </c>
      <c r="C63" s="795" t="s">
        <v>780</v>
      </c>
      <c r="D63" s="669">
        <v>15</v>
      </c>
      <c r="E63" s="101">
        <v>5</v>
      </c>
    </row>
    <row r="64" spans="2:5">
      <c r="B64" s="83">
        <v>62</v>
      </c>
      <c r="C64" s="795" t="s">
        <v>781</v>
      </c>
      <c r="D64" s="669">
        <v>15</v>
      </c>
      <c r="E64" s="101">
        <v>5</v>
      </c>
    </row>
    <row r="65" spans="2:5" ht="13.5" thickBot="1">
      <c r="B65" s="84">
        <v>63</v>
      </c>
      <c r="C65" s="795" t="s">
        <v>782</v>
      </c>
      <c r="D65" s="669">
        <v>15</v>
      </c>
      <c r="E65" s="101">
        <v>5</v>
      </c>
    </row>
    <row r="66" spans="2:5">
      <c r="B66" s="83">
        <v>64</v>
      </c>
      <c r="C66" s="795" t="s">
        <v>783</v>
      </c>
      <c r="D66" s="669">
        <v>15</v>
      </c>
      <c r="E66" s="101">
        <v>5</v>
      </c>
    </row>
    <row r="67" spans="2:5">
      <c r="B67" s="83">
        <v>65</v>
      </c>
      <c r="C67" s="795" t="s">
        <v>784</v>
      </c>
      <c r="D67" s="669">
        <v>15</v>
      </c>
      <c r="E67" s="101">
        <v>5</v>
      </c>
    </row>
    <row r="68" spans="2:5" ht="13.5" thickBot="1">
      <c r="B68" s="84">
        <v>66</v>
      </c>
      <c r="C68" s="795" t="s">
        <v>785</v>
      </c>
      <c r="D68" s="669">
        <v>15</v>
      </c>
      <c r="E68" s="101">
        <v>5</v>
      </c>
    </row>
    <row r="69" spans="2:5">
      <c r="B69" s="83">
        <v>67</v>
      </c>
      <c r="C69" s="795" t="s">
        <v>786</v>
      </c>
      <c r="D69" s="669">
        <v>15</v>
      </c>
      <c r="E69" s="101">
        <v>5</v>
      </c>
    </row>
    <row r="70" spans="2:5">
      <c r="B70" s="83">
        <v>68</v>
      </c>
      <c r="C70" s="795" t="s">
        <v>787</v>
      </c>
      <c r="D70" s="669">
        <v>15</v>
      </c>
      <c r="E70" s="101">
        <v>5</v>
      </c>
    </row>
    <row r="71" spans="2:5" ht="13.5" thickBot="1">
      <c r="B71" s="84">
        <v>69</v>
      </c>
      <c r="C71" s="795" t="s">
        <v>788</v>
      </c>
      <c r="D71" s="669">
        <v>15</v>
      </c>
      <c r="E71" s="101">
        <v>5</v>
      </c>
    </row>
    <row r="72" spans="2:5">
      <c r="B72" s="83">
        <v>70</v>
      </c>
      <c r="C72" s="795" t="s">
        <v>789</v>
      </c>
      <c r="D72" s="669">
        <v>15</v>
      </c>
      <c r="E72" s="101">
        <v>5</v>
      </c>
    </row>
    <row r="73" spans="2:5">
      <c r="B73" s="83">
        <v>71</v>
      </c>
      <c r="C73" s="795" t="s">
        <v>790</v>
      </c>
      <c r="D73" s="669">
        <v>15</v>
      </c>
      <c r="E73" s="101">
        <v>5</v>
      </c>
    </row>
    <row r="74" spans="2:5" ht="13.5" thickBot="1">
      <c r="B74" s="84">
        <v>72</v>
      </c>
      <c r="C74" s="795" t="s">
        <v>791</v>
      </c>
      <c r="D74" s="669">
        <v>15</v>
      </c>
      <c r="E74" s="101">
        <v>5</v>
      </c>
    </row>
    <row r="75" spans="2:5">
      <c r="B75" s="83">
        <v>73</v>
      </c>
      <c r="C75" s="795" t="s">
        <v>792</v>
      </c>
      <c r="D75" s="669">
        <v>15</v>
      </c>
      <c r="E75" s="101">
        <v>5</v>
      </c>
    </row>
    <row r="76" spans="2:5">
      <c r="B76" s="83">
        <v>74</v>
      </c>
      <c r="C76" s="795" t="s">
        <v>793</v>
      </c>
      <c r="D76" s="669">
        <v>15</v>
      </c>
      <c r="E76" s="101">
        <v>5</v>
      </c>
    </row>
    <row r="77" spans="2:5" ht="13.5" thickBot="1">
      <c r="B77" s="84">
        <v>75</v>
      </c>
      <c r="C77" s="795" t="s">
        <v>794</v>
      </c>
      <c r="D77" s="669">
        <v>15</v>
      </c>
      <c r="E77" s="101">
        <v>5</v>
      </c>
    </row>
    <row r="78" spans="2:5">
      <c r="B78" s="83">
        <v>76</v>
      </c>
      <c r="C78" s="795" t="s">
        <v>795</v>
      </c>
      <c r="D78" s="669">
        <v>15</v>
      </c>
      <c r="E78" s="101">
        <v>5</v>
      </c>
    </row>
    <row r="79" spans="2:5">
      <c r="B79" s="83">
        <v>77</v>
      </c>
      <c r="C79" s="795" t="s">
        <v>791</v>
      </c>
      <c r="D79" s="669">
        <v>15</v>
      </c>
      <c r="E79" s="101">
        <v>5</v>
      </c>
    </row>
    <row r="80" spans="2:5" ht="13.5" thickBot="1">
      <c r="B80" s="84">
        <v>78</v>
      </c>
      <c r="C80" s="795" t="s">
        <v>796</v>
      </c>
      <c r="D80" s="669">
        <v>15</v>
      </c>
      <c r="E80" s="101">
        <v>5</v>
      </c>
    </row>
    <row r="81" spans="2:5">
      <c r="B81" s="83">
        <v>79</v>
      </c>
      <c r="C81" s="795" t="s">
        <v>797</v>
      </c>
      <c r="D81" s="669">
        <v>15</v>
      </c>
      <c r="E81" s="101">
        <v>5</v>
      </c>
    </row>
    <row r="82" spans="2:5">
      <c r="B82" s="83">
        <v>80</v>
      </c>
      <c r="C82" s="795" t="s">
        <v>798</v>
      </c>
      <c r="D82" s="669">
        <v>15</v>
      </c>
      <c r="E82" s="101">
        <v>5</v>
      </c>
    </row>
    <row r="83" spans="2:5" ht="13.5" thickBot="1">
      <c r="B83" s="84">
        <v>81</v>
      </c>
      <c r="C83" s="795" t="s">
        <v>799</v>
      </c>
      <c r="D83" s="669">
        <v>15</v>
      </c>
      <c r="E83" s="101">
        <v>5</v>
      </c>
    </row>
    <row r="84" spans="2:5">
      <c r="B84" s="83">
        <v>82</v>
      </c>
      <c r="C84" s="795" t="s">
        <v>800</v>
      </c>
      <c r="D84" s="669">
        <v>15</v>
      </c>
      <c r="E84" s="101">
        <v>5</v>
      </c>
    </row>
    <row r="85" spans="2:5">
      <c r="B85" s="83">
        <v>83</v>
      </c>
      <c r="C85" s="795" t="s">
        <v>801</v>
      </c>
      <c r="D85" s="669">
        <v>15</v>
      </c>
      <c r="E85" s="101">
        <v>5</v>
      </c>
    </row>
    <row r="86" spans="2:5" ht="13.5" thickBot="1">
      <c r="B86" s="84">
        <v>84</v>
      </c>
      <c r="C86" s="795" t="s">
        <v>802</v>
      </c>
      <c r="D86" s="669">
        <v>15</v>
      </c>
      <c r="E86" s="101">
        <v>5</v>
      </c>
    </row>
    <row r="87" spans="2:5">
      <c r="B87" s="83">
        <v>85</v>
      </c>
      <c r="C87" s="795" t="s">
        <v>803</v>
      </c>
      <c r="D87" s="669">
        <v>15</v>
      </c>
      <c r="E87" s="101">
        <v>5</v>
      </c>
    </row>
    <row r="88" spans="2:5">
      <c r="B88" s="83">
        <v>86</v>
      </c>
      <c r="C88" s="795" t="s">
        <v>804</v>
      </c>
      <c r="D88" s="669">
        <v>15</v>
      </c>
      <c r="E88" s="101">
        <v>5</v>
      </c>
    </row>
    <row r="89" spans="2:5" ht="13.5" thickBot="1">
      <c r="B89" s="84">
        <v>87</v>
      </c>
      <c r="C89" s="795" t="s">
        <v>805</v>
      </c>
      <c r="D89" s="669">
        <v>15</v>
      </c>
      <c r="E89" s="101">
        <v>5</v>
      </c>
    </row>
    <row r="90" spans="2:5">
      <c r="B90" s="83">
        <v>88</v>
      </c>
      <c r="C90" s="795" t="s">
        <v>806</v>
      </c>
      <c r="D90" s="669">
        <v>15</v>
      </c>
      <c r="E90" s="101">
        <v>5</v>
      </c>
    </row>
    <row r="91" spans="2:5">
      <c r="B91" s="83">
        <v>89</v>
      </c>
      <c r="C91" s="795" t="s">
        <v>807</v>
      </c>
      <c r="D91" s="669">
        <v>15</v>
      </c>
      <c r="E91" s="101">
        <v>5</v>
      </c>
    </row>
    <row r="92" spans="2:5" ht="13.5" thickBot="1">
      <c r="B92" s="84">
        <v>90</v>
      </c>
      <c r="C92" s="795" t="s">
        <v>808</v>
      </c>
      <c r="D92" s="669">
        <v>15</v>
      </c>
      <c r="E92" s="101">
        <v>5</v>
      </c>
    </row>
    <row r="93" spans="2:5">
      <c r="B93" s="83">
        <v>91</v>
      </c>
      <c r="C93" s="795" t="s">
        <v>809</v>
      </c>
      <c r="D93" s="669">
        <v>15</v>
      </c>
      <c r="E93" s="101">
        <v>5</v>
      </c>
    </row>
    <row r="94" spans="2:5">
      <c r="B94" s="83">
        <v>92</v>
      </c>
      <c r="C94" s="795" t="s">
        <v>768</v>
      </c>
      <c r="D94" s="669">
        <v>15</v>
      </c>
      <c r="E94" s="101">
        <v>5</v>
      </c>
    </row>
    <row r="95" spans="2:5" ht="13.5" thickBot="1">
      <c r="B95" s="84">
        <v>93</v>
      </c>
      <c r="C95" s="795" t="s">
        <v>810</v>
      </c>
      <c r="D95" s="669">
        <v>15</v>
      </c>
      <c r="E95" s="101">
        <v>5</v>
      </c>
    </row>
    <row r="96" spans="2:5">
      <c r="B96" s="83">
        <v>94</v>
      </c>
      <c r="C96" s="795" t="s">
        <v>811</v>
      </c>
      <c r="D96" s="669">
        <v>15</v>
      </c>
      <c r="E96" s="101">
        <v>5</v>
      </c>
    </row>
    <row r="97" spans="2:5">
      <c r="B97" s="83">
        <v>95</v>
      </c>
      <c r="C97" s="795" t="s">
        <v>812</v>
      </c>
      <c r="D97" s="669">
        <v>15</v>
      </c>
      <c r="E97" s="101">
        <v>5</v>
      </c>
    </row>
    <row r="98" spans="2:5" ht="13.5" thickBot="1">
      <c r="B98" s="84">
        <v>96</v>
      </c>
      <c r="C98" s="795" t="s">
        <v>813</v>
      </c>
      <c r="D98" s="669">
        <v>15</v>
      </c>
      <c r="E98" s="101">
        <v>5</v>
      </c>
    </row>
    <row r="99" spans="2:5">
      <c r="B99" s="83">
        <v>97</v>
      </c>
      <c r="C99" s="795" t="s">
        <v>814</v>
      </c>
      <c r="D99" s="669">
        <v>15</v>
      </c>
      <c r="E99" s="101">
        <v>5</v>
      </c>
    </row>
    <row r="100" spans="2:5">
      <c r="B100" s="83">
        <v>98</v>
      </c>
      <c r="C100" s="795" t="s">
        <v>815</v>
      </c>
      <c r="D100" s="669">
        <v>15</v>
      </c>
      <c r="E100" s="101">
        <v>5</v>
      </c>
    </row>
    <row r="101" spans="2:5" ht="13.5" thickBot="1">
      <c r="B101" s="84">
        <v>99</v>
      </c>
      <c r="C101" s="795" t="s">
        <v>815</v>
      </c>
      <c r="D101" s="669">
        <v>15</v>
      </c>
      <c r="E101" s="101">
        <v>5</v>
      </c>
    </row>
    <row r="102" spans="2:5">
      <c r="B102" s="83">
        <v>100</v>
      </c>
      <c r="C102" s="795" t="s">
        <v>816</v>
      </c>
      <c r="D102" s="669">
        <v>15</v>
      </c>
      <c r="E102" s="101">
        <v>5</v>
      </c>
    </row>
    <row r="103" spans="2:5">
      <c r="B103" s="83">
        <v>101</v>
      </c>
      <c r="C103" s="795" t="s">
        <v>816</v>
      </c>
      <c r="D103" s="669">
        <v>15</v>
      </c>
      <c r="E103" s="101">
        <v>5</v>
      </c>
    </row>
    <row r="104" spans="2:5" ht="13.5" thickBot="1">
      <c r="B104" s="84">
        <v>102</v>
      </c>
      <c r="C104" s="795" t="s">
        <v>817</v>
      </c>
      <c r="D104" s="669">
        <v>15</v>
      </c>
      <c r="E104" s="101">
        <v>5</v>
      </c>
    </row>
    <row r="105" spans="2:5">
      <c r="B105" s="83">
        <v>103</v>
      </c>
      <c r="C105" s="795" t="s">
        <v>818</v>
      </c>
      <c r="D105" s="669">
        <v>15</v>
      </c>
      <c r="E105" s="101">
        <v>5</v>
      </c>
    </row>
    <row r="106" spans="2:5">
      <c r="B106" s="83">
        <v>104</v>
      </c>
      <c r="C106" s="795" t="s">
        <v>819</v>
      </c>
      <c r="D106" s="669">
        <v>15</v>
      </c>
      <c r="E106" s="101">
        <v>5</v>
      </c>
    </row>
    <row r="107" spans="2:5" ht="13.5" thickBot="1">
      <c r="B107" s="84">
        <v>105</v>
      </c>
      <c r="C107" s="795" t="s">
        <v>820</v>
      </c>
      <c r="D107" s="669">
        <v>15</v>
      </c>
      <c r="E107" s="101">
        <v>5</v>
      </c>
    </row>
    <row r="108" spans="2:5">
      <c r="B108" s="83">
        <v>106</v>
      </c>
      <c r="C108" s="795" t="s">
        <v>821</v>
      </c>
      <c r="D108" s="669">
        <v>15</v>
      </c>
      <c r="E108" s="101">
        <v>5</v>
      </c>
    </row>
    <row r="109" spans="2:5">
      <c r="B109" s="83">
        <v>107</v>
      </c>
      <c r="C109" s="795" t="s">
        <v>822</v>
      </c>
      <c r="D109" s="669">
        <v>15</v>
      </c>
      <c r="E109" s="101">
        <v>5</v>
      </c>
    </row>
    <row r="110" spans="2:5" ht="13.5" thickBot="1">
      <c r="B110" s="84">
        <v>108</v>
      </c>
      <c r="C110" s="795" t="s">
        <v>823</v>
      </c>
      <c r="D110" s="669">
        <v>15</v>
      </c>
      <c r="E110" s="101">
        <v>5</v>
      </c>
    </row>
    <row r="111" spans="2:5">
      <c r="B111" s="83">
        <v>109</v>
      </c>
      <c r="C111" s="795" t="s">
        <v>824</v>
      </c>
      <c r="D111" s="669">
        <v>15</v>
      </c>
      <c r="E111" s="101">
        <v>5</v>
      </c>
    </row>
    <row r="112" spans="2:5">
      <c r="B112" s="83">
        <v>110</v>
      </c>
      <c r="C112" s="795" t="s">
        <v>825</v>
      </c>
      <c r="D112" s="669">
        <v>15</v>
      </c>
      <c r="E112" s="101">
        <v>5</v>
      </c>
    </row>
    <row r="113" spans="2:5" ht="13.5" thickBot="1">
      <c r="B113" s="84">
        <v>111</v>
      </c>
      <c r="C113" s="795" t="s">
        <v>778</v>
      </c>
      <c r="D113" s="669">
        <v>15</v>
      </c>
      <c r="E113" s="101">
        <v>5</v>
      </c>
    </row>
    <row r="114" spans="2:5">
      <c r="B114" s="83">
        <v>112</v>
      </c>
      <c r="C114" s="795" t="s">
        <v>826</v>
      </c>
      <c r="D114" s="669">
        <v>15</v>
      </c>
      <c r="E114" s="101">
        <v>5</v>
      </c>
    </row>
    <row r="115" spans="2:5">
      <c r="B115" s="83">
        <v>113</v>
      </c>
      <c r="C115" s="795" t="s">
        <v>777</v>
      </c>
      <c r="D115" s="669">
        <v>15</v>
      </c>
      <c r="E115" s="101">
        <v>5</v>
      </c>
    </row>
    <row r="116" spans="2:5" ht="13.5" thickBot="1">
      <c r="B116" s="84">
        <v>114</v>
      </c>
      <c r="C116" s="795" t="s">
        <v>827</v>
      </c>
      <c r="D116" s="669">
        <v>15</v>
      </c>
      <c r="E116" s="101">
        <v>5</v>
      </c>
    </row>
    <row r="117" spans="2:5">
      <c r="B117" s="83">
        <v>115</v>
      </c>
      <c r="C117" s="795" t="s">
        <v>828</v>
      </c>
      <c r="D117" s="669">
        <v>15</v>
      </c>
      <c r="E117" s="101">
        <v>5</v>
      </c>
    </row>
    <row r="118" spans="2:5">
      <c r="B118" s="83">
        <v>116</v>
      </c>
      <c r="C118" s="795" t="s">
        <v>794</v>
      </c>
      <c r="D118" s="669">
        <v>15</v>
      </c>
      <c r="E118" s="101">
        <v>5</v>
      </c>
    </row>
    <row r="119" spans="2:5" ht="13.5" thickBot="1">
      <c r="B119" s="84">
        <v>117</v>
      </c>
      <c r="C119" s="795" t="s">
        <v>829</v>
      </c>
      <c r="D119" s="669">
        <v>15</v>
      </c>
      <c r="E119" s="101">
        <v>5</v>
      </c>
    </row>
    <row r="120" spans="2:5">
      <c r="B120" s="83">
        <v>118</v>
      </c>
      <c r="C120" s="795" t="s">
        <v>830</v>
      </c>
      <c r="D120" s="669">
        <v>15</v>
      </c>
      <c r="E120" s="101">
        <v>5</v>
      </c>
    </row>
    <row r="121" spans="2:5">
      <c r="B121" s="83">
        <v>119</v>
      </c>
      <c r="C121" s="795" t="s">
        <v>831</v>
      </c>
      <c r="D121" s="669">
        <v>15</v>
      </c>
      <c r="E121" s="101">
        <v>5</v>
      </c>
    </row>
    <row r="122" spans="2:5" ht="13.5" thickBot="1">
      <c r="B122" s="84">
        <v>120</v>
      </c>
      <c r="C122" s="795" t="s">
        <v>791</v>
      </c>
      <c r="D122" s="669">
        <v>15</v>
      </c>
      <c r="E122" s="101">
        <v>5</v>
      </c>
    </row>
    <row r="123" spans="2:5">
      <c r="B123" s="83">
        <v>121</v>
      </c>
      <c r="C123" s="795" t="s">
        <v>832</v>
      </c>
      <c r="D123" s="669">
        <v>15</v>
      </c>
      <c r="E123" s="101">
        <v>5</v>
      </c>
    </row>
    <row r="124" spans="2:5">
      <c r="B124" s="83">
        <v>122</v>
      </c>
      <c r="C124" s="795" t="s">
        <v>833</v>
      </c>
      <c r="D124" s="669">
        <v>15</v>
      </c>
      <c r="E124" s="101">
        <v>5</v>
      </c>
    </row>
    <row r="125" spans="2:5" ht="13.5" thickBot="1">
      <c r="B125" s="84">
        <v>123</v>
      </c>
      <c r="C125" s="795" t="s">
        <v>834</v>
      </c>
      <c r="D125" s="669">
        <v>15</v>
      </c>
      <c r="E125" s="101">
        <v>5</v>
      </c>
    </row>
    <row r="126" spans="2:5">
      <c r="B126" s="83">
        <v>124</v>
      </c>
      <c r="C126" s="795" t="s">
        <v>835</v>
      </c>
      <c r="D126" s="669">
        <v>15</v>
      </c>
      <c r="E126" s="101">
        <v>5</v>
      </c>
    </row>
    <row r="127" spans="2:5">
      <c r="B127" s="83">
        <v>125</v>
      </c>
      <c r="C127" s="795" t="s">
        <v>836</v>
      </c>
      <c r="D127" s="669">
        <v>15</v>
      </c>
      <c r="E127" s="101">
        <v>5</v>
      </c>
    </row>
    <row r="128" spans="2:5" ht="13.5" thickBot="1">
      <c r="B128" s="84">
        <v>126</v>
      </c>
      <c r="C128" s="795" t="s">
        <v>837</v>
      </c>
      <c r="D128" s="669">
        <v>15</v>
      </c>
      <c r="E128" s="101">
        <v>5</v>
      </c>
    </row>
    <row r="129" spans="2:5">
      <c r="B129" s="83">
        <v>127</v>
      </c>
      <c r="C129" s="795" t="s">
        <v>838</v>
      </c>
      <c r="D129" s="669">
        <v>15</v>
      </c>
      <c r="E129" s="101">
        <v>5</v>
      </c>
    </row>
    <row r="130" spans="2:5">
      <c r="B130" s="83">
        <v>128</v>
      </c>
      <c r="C130" s="795" t="s">
        <v>839</v>
      </c>
      <c r="D130" s="669">
        <v>15</v>
      </c>
      <c r="E130" s="101">
        <v>5</v>
      </c>
    </row>
    <row r="131" spans="2:5" ht="13.5" thickBot="1">
      <c r="B131" s="84">
        <v>129</v>
      </c>
      <c r="C131" s="795" t="s">
        <v>840</v>
      </c>
      <c r="D131" s="669">
        <v>15</v>
      </c>
      <c r="E131" s="101">
        <v>5</v>
      </c>
    </row>
    <row r="132" spans="2:5">
      <c r="B132" s="83">
        <v>130</v>
      </c>
      <c r="C132" s="795" t="s">
        <v>841</v>
      </c>
      <c r="D132" s="669">
        <v>15</v>
      </c>
      <c r="E132" s="101">
        <v>5</v>
      </c>
    </row>
    <row r="133" spans="2:5">
      <c r="B133" s="83">
        <v>131</v>
      </c>
      <c r="C133" s="795" t="s">
        <v>842</v>
      </c>
      <c r="D133" s="669">
        <v>15</v>
      </c>
      <c r="E133" s="101">
        <v>5</v>
      </c>
    </row>
    <row r="134" spans="2:5" ht="13.5" thickBot="1">
      <c r="B134" s="84">
        <v>132</v>
      </c>
      <c r="C134" s="795" t="s">
        <v>843</v>
      </c>
      <c r="D134" s="669">
        <v>15</v>
      </c>
      <c r="E134" s="101">
        <v>5</v>
      </c>
    </row>
    <row r="135" spans="2:5">
      <c r="B135" s="83">
        <v>133</v>
      </c>
      <c r="C135" s="795" t="s">
        <v>844</v>
      </c>
      <c r="D135" s="669">
        <v>15</v>
      </c>
      <c r="E135" s="101">
        <v>5</v>
      </c>
    </row>
    <row r="136" spans="2:5">
      <c r="B136" s="83">
        <v>134</v>
      </c>
      <c r="C136" s="795" t="s">
        <v>845</v>
      </c>
      <c r="D136" s="669">
        <v>15</v>
      </c>
      <c r="E136" s="101">
        <v>5</v>
      </c>
    </row>
    <row r="137" spans="2:5" ht="13.5" thickBot="1">
      <c r="B137" s="84">
        <v>135</v>
      </c>
      <c r="C137" s="795" t="s">
        <v>846</v>
      </c>
      <c r="D137" s="669">
        <v>15</v>
      </c>
      <c r="E137" s="101">
        <v>5</v>
      </c>
    </row>
    <row r="138" spans="2:5">
      <c r="B138" s="83">
        <v>136</v>
      </c>
      <c r="C138" s="795" t="s">
        <v>847</v>
      </c>
      <c r="D138" s="669">
        <v>15</v>
      </c>
      <c r="E138" s="101">
        <v>5</v>
      </c>
    </row>
    <row r="139" spans="2:5">
      <c r="B139" s="83">
        <v>137</v>
      </c>
      <c r="C139" s="795" t="s">
        <v>848</v>
      </c>
      <c r="D139" s="669">
        <v>15</v>
      </c>
      <c r="E139" s="101">
        <v>5</v>
      </c>
    </row>
    <row r="140" spans="2:5" ht="13.5" thickBot="1">
      <c r="B140" s="84">
        <v>138</v>
      </c>
      <c r="C140" s="795" t="s">
        <v>849</v>
      </c>
      <c r="D140" s="669">
        <v>15</v>
      </c>
      <c r="E140" s="101">
        <v>5</v>
      </c>
    </row>
    <row r="141" spans="2:5">
      <c r="B141" s="83">
        <v>139</v>
      </c>
      <c r="C141" s="795" t="s">
        <v>850</v>
      </c>
      <c r="D141" s="669">
        <v>15</v>
      </c>
      <c r="E141" s="101">
        <v>5</v>
      </c>
    </row>
    <row r="142" spans="2:5">
      <c r="B142" s="83">
        <v>140</v>
      </c>
      <c r="C142" s="795" t="s">
        <v>851</v>
      </c>
      <c r="D142" s="669">
        <v>15</v>
      </c>
      <c r="E142" s="101">
        <v>5</v>
      </c>
    </row>
    <row r="143" spans="2:5" ht="13.5" thickBot="1">
      <c r="B143" s="84">
        <v>141</v>
      </c>
      <c r="C143" s="795" t="s">
        <v>852</v>
      </c>
      <c r="D143" s="669">
        <v>15</v>
      </c>
      <c r="E143" s="101">
        <v>5</v>
      </c>
    </row>
    <row r="144" spans="2:5">
      <c r="B144" s="83">
        <v>142</v>
      </c>
      <c r="C144" s="795" t="s">
        <v>853</v>
      </c>
      <c r="D144" s="669">
        <v>15</v>
      </c>
      <c r="E144" s="101">
        <v>5</v>
      </c>
    </row>
    <row r="145" spans="2:5">
      <c r="B145" s="83">
        <v>143</v>
      </c>
      <c r="C145" s="795" t="s">
        <v>854</v>
      </c>
      <c r="D145" s="669">
        <v>15</v>
      </c>
      <c r="E145" s="101">
        <v>5</v>
      </c>
    </row>
    <row r="146" spans="2:5" ht="13.5" thickBot="1">
      <c r="B146" s="84">
        <v>144</v>
      </c>
      <c r="C146" s="795" t="s">
        <v>855</v>
      </c>
      <c r="D146" s="669">
        <v>15</v>
      </c>
      <c r="E146" s="101">
        <v>5</v>
      </c>
    </row>
    <row r="147" spans="2:5">
      <c r="B147" s="83">
        <v>145</v>
      </c>
      <c r="C147" s="795" t="s">
        <v>855</v>
      </c>
      <c r="D147" s="669">
        <v>15</v>
      </c>
      <c r="E147" s="101">
        <v>5</v>
      </c>
    </row>
    <row r="148" spans="2:5">
      <c r="B148" s="83">
        <v>146</v>
      </c>
      <c r="C148" s="795" t="s">
        <v>855</v>
      </c>
      <c r="D148" s="669">
        <v>15</v>
      </c>
      <c r="E148" s="101">
        <v>5</v>
      </c>
    </row>
    <row r="149" spans="2:5" ht="13.5" thickBot="1">
      <c r="B149" s="84">
        <v>147</v>
      </c>
      <c r="C149" s="795" t="s">
        <v>856</v>
      </c>
      <c r="D149" s="669">
        <v>15</v>
      </c>
      <c r="E149" s="101">
        <v>5</v>
      </c>
    </row>
    <row r="150" spans="2:5">
      <c r="B150" s="83">
        <v>148</v>
      </c>
      <c r="C150" s="795" t="s">
        <v>857</v>
      </c>
      <c r="D150" s="669">
        <v>15</v>
      </c>
      <c r="E150" s="101">
        <v>5</v>
      </c>
    </row>
    <row r="151" spans="2:5">
      <c r="B151" s="83">
        <v>149</v>
      </c>
      <c r="C151" s="795" t="s">
        <v>858</v>
      </c>
      <c r="D151" s="669">
        <v>15</v>
      </c>
      <c r="E151" s="101">
        <v>5</v>
      </c>
    </row>
    <row r="152" spans="2:5" ht="13.5" thickBot="1">
      <c r="B152" s="84">
        <v>150</v>
      </c>
      <c r="C152" s="795" t="s">
        <v>859</v>
      </c>
      <c r="D152" s="669">
        <v>15</v>
      </c>
      <c r="E152" s="101">
        <v>5</v>
      </c>
    </row>
    <row r="153" spans="2:5">
      <c r="B153" s="83">
        <v>151</v>
      </c>
      <c r="C153" s="795" t="s">
        <v>860</v>
      </c>
      <c r="D153" s="669">
        <v>15</v>
      </c>
      <c r="E153" s="101">
        <v>5</v>
      </c>
    </row>
    <row r="154" spans="2:5">
      <c r="B154" s="83">
        <v>152</v>
      </c>
      <c r="C154" s="795" t="s">
        <v>861</v>
      </c>
      <c r="D154" s="669">
        <v>15</v>
      </c>
      <c r="E154" s="101">
        <v>5</v>
      </c>
    </row>
    <row r="155" spans="2:5" ht="13.5" thickBot="1">
      <c r="B155" s="84">
        <v>153</v>
      </c>
      <c r="C155" s="795" t="s">
        <v>862</v>
      </c>
      <c r="D155" s="669">
        <v>15</v>
      </c>
      <c r="E155" s="101">
        <v>5</v>
      </c>
    </row>
    <row r="156" spans="2:5">
      <c r="B156" s="83">
        <v>154</v>
      </c>
      <c r="C156" s="795" t="s">
        <v>863</v>
      </c>
      <c r="D156" s="669">
        <v>15</v>
      </c>
      <c r="E156" s="101">
        <v>5</v>
      </c>
    </row>
    <row r="157" spans="2:5">
      <c r="B157" s="83">
        <v>155</v>
      </c>
      <c r="C157" s="795" t="s">
        <v>864</v>
      </c>
      <c r="D157" s="669">
        <v>15</v>
      </c>
      <c r="E157" s="101">
        <v>5</v>
      </c>
    </row>
    <row r="158" spans="2:5" ht="13.5" thickBot="1">
      <c r="B158" s="84">
        <v>156</v>
      </c>
      <c r="C158" s="795" t="s">
        <v>860</v>
      </c>
      <c r="D158" s="669">
        <v>15</v>
      </c>
      <c r="E158" s="101">
        <v>5</v>
      </c>
    </row>
    <row r="159" spans="2:5">
      <c r="B159" s="83">
        <v>157</v>
      </c>
      <c r="C159" s="795" t="s">
        <v>865</v>
      </c>
      <c r="D159" s="669">
        <v>15</v>
      </c>
      <c r="E159" s="101">
        <v>5</v>
      </c>
    </row>
    <row r="160" spans="2:5">
      <c r="B160" s="83">
        <v>158</v>
      </c>
      <c r="C160" s="795" t="s">
        <v>866</v>
      </c>
      <c r="D160" s="669">
        <v>15</v>
      </c>
      <c r="E160" s="101">
        <v>5</v>
      </c>
    </row>
    <row r="161" spans="2:5" ht="13.5" thickBot="1">
      <c r="B161" s="84">
        <v>159</v>
      </c>
      <c r="C161" s="795" t="s">
        <v>867</v>
      </c>
      <c r="D161" s="669">
        <v>15</v>
      </c>
      <c r="E161" s="101">
        <v>5</v>
      </c>
    </row>
    <row r="162" spans="2:5">
      <c r="B162" s="83">
        <v>160</v>
      </c>
      <c r="C162" s="795" t="s">
        <v>867</v>
      </c>
      <c r="D162" s="669">
        <v>15</v>
      </c>
      <c r="E162" s="101">
        <v>5</v>
      </c>
    </row>
    <row r="163" spans="2:5">
      <c r="B163" s="83">
        <v>161</v>
      </c>
      <c r="C163" s="795" t="s">
        <v>868</v>
      </c>
      <c r="D163" s="669">
        <v>15</v>
      </c>
      <c r="E163" s="101">
        <v>5</v>
      </c>
    </row>
    <row r="164" spans="2:5" ht="13.5" thickBot="1">
      <c r="B164" s="84">
        <v>162</v>
      </c>
      <c r="C164" s="795" t="s">
        <v>868</v>
      </c>
      <c r="D164" s="669">
        <v>15</v>
      </c>
      <c r="E164" s="101">
        <v>5</v>
      </c>
    </row>
    <row r="165" spans="2:5">
      <c r="B165" s="83">
        <v>163</v>
      </c>
      <c r="C165" s="795" t="s">
        <v>869</v>
      </c>
      <c r="D165" s="669">
        <v>15</v>
      </c>
      <c r="E165" s="101">
        <v>5</v>
      </c>
    </row>
    <row r="166" spans="2:5">
      <c r="B166" s="83">
        <v>164</v>
      </c>
      <c r="C166" s="795" t="s">
        <v>869</v>
      </c>
      <c r="D166" s="669">
        <v>15</v>
      </c>
      <c r="E166" s="101">
        <v>5</v>
      </c>
    </row>
    <row r="167" spans="2:5" ht="13.5" thickBot="1">
      <c r="B167" s="84">
        <v>165</v>
      </c>
      <c r="C167" s="795" t="s">
        <v>870</v>
      </c>
      <c r="D167" s="669">
        <v>15</v>
      </c>
      <c r="E167" s="101">
        <v>5</v>
      </c>
    </row>
    <row r="168" spans="2:5">
      <c r="B168" s="83">
        <v>166</v>
      </c>
      <c r="C168" s="795" t="s">
        <v>871</v>
      </c>
      <c r="D168" s="669">
        <v>15</v>
      </c>
      <c r="E168" s="101">
        <v>5</v>
      </c>
    </row>
    <row r="169" spans="2:5">
      <c r="B169" s="83">
        <v>167</v>
      </c>
      <c r="C169" s="795" t="s">
        <v>872</v>
      </c>
      <c r="D169" s="669">
        <v>15</v>
      </c>
      <c r="E169" s="101">
        <v>5</v>
      </c>
    </row>
    <row r="170" spans="2:5" ht="13.5" thickBot="1">
      <c r="B170" s="84">
        <v>168</v>
      </c>
      <c r="C170" s="795" t="s">
        <v>873</v>
      </c>
      <c r="D170" s="669">
        <v>15</v>
      </c>
      <c r="E170" s="101">
        <v>5</v>
      </c>
    </row>
    <row r="171" spans="2:5">
      <c r="B171" s="83">
        <v>169</v>
      </c>
      <c r="C171" s="795" t="s">
        <v>874</v>
      </c>
      <c r="D171" s="669">
        <v>15</v>
      </c>
      <c r="E171" s="101">
        <v>5</v>
      </c>
    </row>
    <row r="172" spans="2:5">
      <c r="B172" s="83">
        <v>170</v>
      </c>
      <c r="C172" s="795" t="s">
        <v>875</v>
      </c>
      <c r="D172" s="669">
        <v>15</v>
      </c>
      <c r="E172" s="101">
        <v>5</v>
      </c>
    </row>
    <row r="173" spans="2:5" ht="13.5" thickBot="1">
      <c r="B173" s="84">
        <v>171</v>
      </c>
      <c r="C173" s="795" t="s">
        <v>876</v>
      </c>
      <c r="D173" s="669">
        <v>15</v>
      </c>
      <c r="E173" s="101">
        <v>5</v>
      </c>
    </row>
    <row r="174" spans="2:5">
      <c r="B174" s="83">
        <v>172</v>
      </c>
      <c r="C174" s="795" t="s">
        <v>877</v>
      </c>
      <c r="D174" s="669">
        <v>15</v>
      </c>
      <c r="E174" s="101">
        <v>5</v>
      </c>
    </row>
    <row r="175" spans="2:5">
      <c r="B175" s="83">
        <v>173</v>
      </c>
      <c r="C175" s="795" t="s">
        <v>877</v>
      </c>
      <c r="D175" s="669">
        <v>15</v>
      </c>
      <c r="E175" s="101">
        <v>5</v>
      </c>
    </row>
    <row r="176" spans="2:5" ht="13.5" thickBot="1">
      <c r="B176" s="84">
        <v>174</v>
      </c>
      <c r="C176" s="795" t="s">
        <v>878</v>
      </c>
      <c r="D176" s="669">
        <v>15</v>
      </c>
      <c r="E176" s="101">
        <v>5</v>
      </c>
    </row>
    <row r="177" spans="2:5">
      <c r="B177" s="83">
        <v>175</v>
      </c>
      <c r="C177" s="795" t="s">
        <v>879</v>
      </c>
      <c r="D177" s="669">
        <v>15</v>
      </c>
      <c r="E177" s="101">
        <v>5</v>
      </c>
    </row>
    <row r="178" spans="2:5">
      <c r="B178" s="83">
        <v>176</v>
      </c>
      <c r="C178" s="795" t="s">
        <v>867</v>
      </c>
      <c r="D178" s="669">
        <v>15</v>
      </c>
      <c r="E178" s="101">
        <v>5</v>
      </c>
    </row>
    <row r="179" spans="2:5" ht="13.5" thickBot="1">
      <c r="B179" s="84">
        <v>177</v>
      </c>
      <c r="C179" s="795" t="s">
        <v>880</v>
      </c>
      <c r="D179" s="669">
        <v>15</v>
      </c>
      <c r="E179" s="101">
        <v>5</v>
      </c>
    </row>
    <row r="180" spans="2:5">
      <c r="B180" s="83">
        <v>178</v>
      </c>
      <c r="C180" s="795" t="s">
        <v>881</v>
      </c>
      <c r="D180" s="669">
        <v>15</v>
      </c>
      <c r="E180" s="101">
        <v>5</v>
      </c>
    </row>
    <row r="181" spans="2:5">
      <c r="B181" s="83">
        <v>179</v>
      </c>
      <c r="C181" s="795" t="s">
        <v>882</v>
      </c>
      <c r="D181" s="669">
        <v>15</v>
      </c>
      <c r="E181" s="101">
        <v>5</v>
      </c>
    </row>
    <row r="182" spans="2:5" ht="13.5" thickBot="1">
      <c r="B182" s="84">
        <v>180</v>
      </c>
      <c r="C182" s="795" t="s">
        <v>883</v>
      </c>
      <c r="D182" s="669">
        <v>15</v>
      </c>
      <c r="E182" s="101">
        <v>5</v>
      </c>
    </row>
    <row r="183" spans="2:5">
      <c r="B183" s="83">
        <v>181</v>
      </c>
      <c r="C183" s="795" t="s">
        <v>884</v>
      </c>
      <c r="D183" s="669">
        <v>15</v>
      </c>
      <c r="E183" s="101">
        <v>5</v>
      </c>
    </row>
    <row r="184" spans="2:5">
      <c r="B184" s="83">
        <v>182</v>
      </c>
      <c r="C184" s="795" t="s">
        <v>885</v>
      </c>
      <c r="D184" s="669">
        <v>15</v>
      </c>
      <c r="E184" s="101">
        <v>5</v>
      </c>
    </row>
    <row r="185" spans="2:5" ht="13.5" thickBot="1">
      <c r="B185" s="84">
        <v>183</v>
      </c>
      <c r="C185" s="795" t="s">
        <v>886</v>
      </c>
      <c r="D185" s="669">
        <v>15</v>
      </c>
      <c r="E185" s="101">
        <v>5</v>
      </c>
    </row>
    <row r="186" spans="2:5">
      <c r="B186" s="83">
        <v>184</v>
      </c>
      <c r="C186" s="795" t="s">
        <v>886</v>
      </c>
      <c r="D186" s="669">
        <v>15</v>
      </c>
      <c r="E186" s="101">
        <v>5</v>
      </c>
    </row>
    <row r="187" spans="2:5">
      <c r="B187" s="83">
        <v>185</v>
      </c>
      <c r="C187" s="795" t="s">
        <v>886</v>
      </c>
      <c r="D187" s="669">
        <v>15</v>
      </c>
      <c r="E187" s="101">
        <v>5</v>
      </c>
    </row>
    <row r="188" spans="2:5" ht="13.5" thickBot="1">
      <c r="B188" s="84">
        <v>186</v>
      </c>
      <c r="C188" s="795" t="s">
        <v>886</v>
      </c>
      <c r="D188" s="669">
        <v>15</v>
      </c>
      <c r="E188" s="101">
        <v>5</v>
      </c>
    </row>
    <row r="189" spans="2:5">
      <c r="B189" s="83">
        <v>187</v>
      </c>
      <c r="C189" s="795" t="s">
        <v>887</v>
      </c>
      <c r="D189" s="669">
        <v>15</v>
      </c>
      <c r="E189" s="101">
        <v>5</v>
      </c>
    </row>
    <row r="190" spans="2:5">
      <c r="B190" s="83">
        <v>188</v>
      </c>
      <c r="C190" s="795" t="s">
        <v>888</v>
      </c>
      <c r="D190" s="669">
        <v>15</v>
      </c>
      <c r="E190" s="101">
        <v>5</v>
      </c>
    </row>
    <row r="191" spans="2:5" ht="13.5" thickBot="1">
      <c r="B191" s="84">
        <v>189</v>
      </c>
      <c r="C191" s="795" t="s">
        <v>889</v>
      </c>
      <c r="D191" s="669">
        <v>15</v>
      </c>
      <c r="E191" s="101">
        <v>5</v>
      </c>
    </row>
    <row r="192" spans="2:5">
      <c r="B192" s="83">
        <v>190</v>
      </c>
      <c r="C192" s="795" t="s">
        <v>890</v>
      </c>
      <c r="D192" s="669">
        <v>15</v>
      </c>
      <c r="E192" s="101">
        <v>5</v>
      </c>
    </row>
    <row r="193" spans="2:5">
      <c r="B193" s="83">
        <v>191</v>
      </c>
      <c r="C193" s="795" t="s">
        <v>891</v>
      </c>
      <c r="D193" s="669">
        <v>15</v>
      </c>
      <c r="E193" s="101">
        <v>5</v>
      </c>
    </row>
    <row r="194" spans="2:5" ht="13.5" thickBot="1">
      <c r="B194" s="84">
        <v>192</v>
      </c>
      <c r="C194" s="795" t="s">
        <v>890</v>
      </c>
      <c r="D194" s="669">
        <v>15</v>
      </c>
      <c r="E194" s="101">
        <v>5</v>
      </c>
    </row>
    <row r="195" spans="2:5">
      <c r="B195" s="83">
        <v>193</v>
      </c>
      <c r="C195" s="795" t="s">
        <v>892</v>
      </c>
      <c r="D195" s="669">
        <v>15</v>
      </c>
      <c r="E195" s="101">
        <v>5</v>
      </c>
    </row>
    <row r="196" spans="2:5">
      <c r="B196" s="83">
        <v>194</v>
      </c>
      <c r="C196" s="795" t="s">
        <v>893</v>
      </c>
      <c r="D196" s="669">
        <v>15</v>
      </c>
      <c r="E196" s="101">
        <v>5</v>
      </c>
    </row>
    <row r="197" spans="2:5" ht="13.5" thickBot="1">
      <c r="B197" s="84">
        <v>195</v>
      </c>
      <c r="C197" s="795" t="s">
        <v>894</v>
      </c>
      <c r="D197" s="669">
        <v>15</v>
      </c>
      <c r="E197" s="101">
        <v>5</v>
      </c>
    </row>
    <row r="198" spans="2:5">
      <c r="B198" s="83">
        <v>196</v>
      </c>
      <c r="C198" s="795" t="s">
        <v>895</v>
      </c>
      <c r="D198" s="669">
        <v>15</v>
      </c>
      <c r="E198" s="101">
        <v>5</v>
      </c>
    </row>
    <row r="199" spans="2:5">
      <c r="B199" s="83">
        <v>197</v>
      </c>
      <c r="C199" s="795" t="s">
        <v>894</v>
      </c>
      <c r="D199" s="669">
        <v>15</v>
      </c>
      <c r="E199" s="101">
        <v>5</v>
      </c>
    </row>
    <row r="200" spans="2:5" ht="13.5" thickBot="1">
      <c r="B200" s="84">
        <v>198</v>
      </c>
      <c r="C200" s="795" t="s">
        <v>896</v>
      </c>
      <c r="D200" s="669">
        <v>15</v>
      </c>
      <c r="E200" s="101">
        <v>5</v>
      </c>
    </row>
    <row r="201" spans="2:5">
      <c r="B201" s="83">
        <v>199</v>
      </c>
      <c r="C201" s="795" t="s">
        <v>897</v>
      </c>
      <c r="D201" s="669">
        <v>15</v>
      </c>
      <c r="E201" s="101">
        <v>5</v>
      </c>
    </row>
    <row r="202" spans="2:5">
      <c r="B202" s="83">
        <v>200</v>
      </c>
      <c r="C202" s="795" t="s">
        <v>898</v>
      </c>
      <c r="D202" s="669">
        <v>15</v>
      </c>
      <c r="E202" s="101">
        <v>5</v>
      </c>
    </row>
    <row r="203" spans="2:5" ht="13.5" thickBot="1">
      <c r="B203" s="84">
        <v>201</v>
      </c>
      <c r="C203" s="795" t="s">
        <v>899</v>
      </c>
      <c r="D203" s="669">
        <v>15</v>
      </c>
      <c r="E203" s="101">
        <v>5</v>
      </c>
    </row>
    <row r="204" spans="2:5">
      <c r="B204" s="83">
        <v>202</v>
      </c>
      <c r="C204" s="795" t="s">
        <v>900</v>
      </c>
      <c r="D204" s="669">
        <v>15</v>
      </c>
      <c r="E204" s="101">
        <v>5</v>
      </c>
    </row>
    <row r="205" spans="2:5">
      <c r="B205" s="83">
        <v>203</v>
      </c>
      <c r="C205" s="795" t="s">
        <v>901</v>
      </c>
      <c r="D205" s="669">
        <v>15</v>
      </c>
      <c r="E205" s="101">
        <v>5</v>
      </c>
    </row>
    <row r="206" spans="2:5" ht="13.5" thickBot="1">
      <c r="B206" s="84">
        <v>204</v>
      </c>
      <c r="C206" s="795" t="s">
        <v>902</v>
      </c>
      <c r="D206" s="669">
        <v>15</v>
      </c>
      <c r="E206" s="101">
        <v>5</v>
      </c>
    </row>
    <row r="207" spans="2:5">
      <c r="B207" s="83">
        <v>205</v>
      </c>
      <c r="C207" s="795" t="s">
        <v>903</v>
      </c>
      <c r="D207" s="669">
        <v>15</v>
      </c>
      <c r="E207" s="101">
        <v>5</v>
      </c>
    </row>
    <row r="208" spans="2:5">
      <c r="B208" s="83">
        <v>206</v>
      </c>
      <c r="C208" s="795" t="s">
        <v>904</v>
      </c>
      <c r="D208" s="669">
        <v>15</v>
      </c>
      <c r="E208" s="101">
        <v>5</v>
      </c>
    </row>
    <row r="209" spans="2:5" ht="13.5" thickBot="1">
      <c r="B209" s="84">
        <v>207</v>
      </c>
      <c r="C209" s="795" t="s">
        <v>905</v>
      </c>
      <c r="D209" s="669">
        <v>15</v>
      </c>
      <c r="E209" s="101">
        <v>5</v>
      </c>
    </row>
    <row r="210" spans="2:5">
      <c r="B210" s="83">
        <v>208</v>
      </c>
      <c r="C210" s="795" t="s">
        <v>906</v>
      </c>
      <c r="D210" s="669">
        <v>15</v>
      </c>
      <c r="E210" s="101">
        <v>5</v>
      </c>
    </row>
    <row r="211" spans="2:5">
      <c r="B211" s="83">
        <v>209</v>
      </c>
      <c r="C211" s="795" t="s">
        <v>907</v>
      </c>
      <c r="D211" s="669">
        <v>15</v>
      </c>
      <c r="E211" s="101">
        <v>5</v>
      </c>
    </row>
    <row r="212" spans="2:5" ht="13.5" thickBot="1">
      <c r="B212" s="84">
        <v>210</v>
      </c>
      <c r="C212" s="795" t="s">
        <v>908</v>
      </c>
      <c r="D212" s="669">
        <v>15</v>
      </c>
      <c r="E212" s="101">
        <v>5</v>
      </c>
    </row>
    <row r="213" spans="2:5">
      <c r="B213" s="83">
        <v>211</v>
      </c>
      <c r="C213" s="795" t="s">
        <v>909</v>
      </c>
      <c r="D213" s="669">
        <v>15</v>
      </c>
      <c r="E213" s="101">
        <v>5</v>
      </c>
    </row>
    <row r="214" spans="2:5">
      <c r="B214" s="83">
        <v>212</v>
      </c>
      <c r="C214" s="795" t="s">
        <v>910</v>
      </c>
      <c r="D214" s="669">
        <v>15</v>
      </c>
      <c r="E214" s="101">
        <v>5</v>
      </c>
    </row>
    <row r="215" spans="2:5" ht="13.5" thickBot="1">
      <c r="B215" s="84">
        <v>213</v>
      </c>
      <c r="C215" s="795" t="s">
        <v>911</v>
      </c>
      <c r="D215" s="669">
        <v>15</v>
      </c>
      <c r="E215" s="101">
        <v>5</v>
      </c>
    </row>
    <row r="216" spans="2:5">
      <c r="B216" s="83">
        <v>214</v>
      </c>
      <c r="C216" s="795" t="s">
        <v>912</v>
      </c>
      <c r="D216" s="669">
        <v>15</v>
      </c>
      <c r="E216" s="101">
        <v>5</v>
      </c>
    </row>
    <row r="217" spans="2:5">
      <c r="B217" s="83">
        <v>215</v>
      </c>
      <c r="C217" s="795" t="s">
        <v>913</v>
      </c>
      <c r="D217" s="669">
        <v>15</v>
      </c>
      <c r="E217" s="101">
        <v>5</v>
      </c>
    </row>
    <row r="218" spans="2:5" ht="13.5" thickBot="1">
      <c r="B218" s="84">
        <v>216</v>
      </c>
      <c r="C218" s="795" t="s">
        <v>914</v>
      </c>
      <c r="D218" s="669">
        <v>15</v>
      </c>
      <c r="E218" s="101">
        <v>5</v>
      </c>
    </row>
    <row r="219" spans="2:5">
      <c r="B219" s="83">
        <v>217</v>
      </c>
      <c r="C219" s="795" t="s">
        <v>915</v>
      </c>
      <c r="D219" s="669">
        <v>15</v>
      </c>
      <c r="E219" s="101">
        <v>5</v>
      </c>
    </row>
    <row r="220" spans="2:5">
      <c r="B220" s="83">
        <v>218</v>
      </c>
      <c r="C220" s="795" t="s">
        <v>916</v>
      </c>
      <c r="D220" s="669">
        <v>15</v>
      </c>
      <c r="E220" s="101">
        <v>5</v>
      </c>
    </row>
    <row r="221" spans="2:5" ht="13.5" thickBot="1">
      <c r="B221" s="84">
        <v>219</v>
      </c>
      <c r="C221" s="795" t="s">
        <v>917</v>
      </c>
      <c r="D221" s="669">
        <v>15</v>
      </c>
      <c r="E221" s="101">
        <v>5</v>
      </c>
    </row>
    <row r="222" spans="2:5">
      <c r="B222" s="83">
        <v>220</v>
      </c>
      <c r="C222" s="795" t="s">
        <v>918</v>
      </c>
      <c r="D222" s="669">
        <v>15</v>
      </c>
      <c r="E222" s="101">
        <v>5</v>
      </c>
    </row>
    <row r="223" spans="2:5">
      <c r="B223" s="83">
        <v>221</v>
      </c>
      <c r="C223" s="795" t="s">
        <v>919</v>
      </c>
      <c r="D223" s="669">
        <v>15</v>
      </c>
      <c r="E223" s="101">
        <v>5</v>
      </c>
    </row>
    <row r="224" spans="2:5" ht="13.5" thickBot="1">
      <c r="B224" s="84">
        <v>222</v>
      </c>
      <c r="C224" s="795" t="s">
        <v>920</v>
      </c>
      <c r="D224" s="669">
        <v>15</v>
      </c>
      <c r="E224" s="101">
        <v>5</v>
      </c>
    </row>
    <row r="225" spans="1:5">
      <c r="B225" s="83">
        <v>223</v>
      </c>
      <c r="C225" s="795" t="s">
        <v>921</v>
      </c>
      <c r="D225" s="669">
        <v>15</v>
      </c>
      <c r="E225" s="101">
        <v>5</v>
      </c>
    </row>
    <row r="226" spans="1:5">
      <c r="B226" s="83">
        <v>224</v>
      </c>
      <c r="C226" s="795" t="s">
        <v>887</v>
      </c>
      <c r="D226" s="669">
        <v>15</v>
      </c>
      <c r="E226" s="101">
        <v>5</v>
      </c>
    </row>
    <row r="227" spans="1:5" ht="13.5" thickBot="1">
      <c r="B227" s="84">
        <v>225</v>
      </c>
      <c r="C227" s="795" t="s">
        <v>922</v>
      </c>
      <c r="D227" s="669">
        <v>15</v>
      </c>
      <c r="E227" s="101">
        <v>5</v>
      </c>
    </row>
    <row r="228" spans="1:5">
      <c r="B228" s="83">
        <v>226</v>
      </c>
      <c r="C228" s="795" t="s">
        <v>922</v>
      </c>
      <c r="D228" s="669">
        <v>15</v>
      </c>
      <c r="E228" s="101">
        <v>5</v>
      </c>
    </row>
    <row r="229" spans="1:5">
      <c r="B229" s="83">
        <v>227</v>
      </c>
      <c r="C229" s="795" t="s">
        <v>923</v>
      </c>
      <c r="D229" s="669">
        <v>15</v>
      </c>
      <c r="E229" s="101">
        <v>5</v>
      </c>
    </row>
    <row r="230" spans="1:5" ht="13.5" thickBot="1">
      <c r="B230" s="84">
        <v>228</v>
      </c>
      <c r="C230" s="795" t="s">
        <v>924</v>
      </c>
      <c r="D230" s="669">
        <v>15</v>
      </c>
      <c r="E230" s="101">
        <v>5</v>
      </c>
    </row>
    <row r="231" spans="1:5">
      <c r="B231" s="83">
        <v>229</v>
      </c>
      <c r="C231" s="795" t="s">
        <v>925</v>
      </c>
      <c r="D231" s="669">
        <v>15</v>
      </c>
      <c r="E231" s="101">
        <v>5</v>
      </c>
    </row>
    <row r="232" spans="1:5">
      <c r="B232" s="83">
        <v>230</v>
      </c>
      <c r="C232" s="795" t="s">
        <v>926</v>
      </c>
      <c r="D232" s="669">
        <v>15</v>
      </c>
      <c r="E232" s="101">
        <v>5</v>
      </c>
    </row>
    <row r="233" spans="1:5" ht="13.5" thickBot="1">
      <c r="B233" s="84">
        <v>231</v>
      </c>
      <c r="C233" s="795" t="s">
        <v>927</v>
      </c>
      <c r="D233" s="669">
        <v>15</v>
      </c>
      <c r="E233" s="101">
        <v>5</v>
      </c>
    </row>
    <row r="234" spans="1:5">
      <c r="B234" s="83">
        <v>232</v>
      </c>
      <c r="C234" s="795" t="s">
        <v>928</v>
      </c>
      <c r="D234" s="669">
        <v>15</v>
      </c>
      <c r="E234" s="101">
        <v>5</v>
      </c>
    </row>
    <row r="235" spans="1:5">
      <c r="B235" s="83">
        <v>233</v>
      </c>
      <c r="C235" s="795" t="s">
        <v>929</v>
      </c>
      <c r="D235" s="669">
        <v>15</v>
      </c>
      <c r="E235" s="101">
        <v>5</v>
      </c>
    </row>
    <row r="236" spans="1:5" ht="13.5" thickBot="1">
      <c r="B236" s="84">
        <v>234</v>
      </c>
      <c r="C236" s="795" t="s">
        <v>930</v>
      </c>
      <c r="D236" s="669">
        <v>15</v>
      </c>
      <c r="E236" s="101">
        <v>5</v>
      </c>
    </row>
    <row r="237" spans="1:5">
      <c r="B237" s="83">
        <v>235</v>
      </c>
      <c r="C237" s="795" t="s">
        <v>931</v>
      </c>
      <c r="D237" s="669">
        <v>15</v>
      </c>
      <c r="E237" s="101">
        <v>5</v>
      </c>
    </row>
    <row r="238" spans="1:5" ht="13.5" thickBot="1">
      <c r="B238" s="83">
        <v>236</v>
      </c>
      <c r="C238" s="795" t="s">
        <v>932</v>
      </c>
      <c r="D238" s="800">
        <v>15</v>
      </c>
      <c r="E238" s="801">
        <v>5</v>
      </c>
    </row>
    <row r="239" spans="1:5" ht="13.5" thickBot="1">
      <c r="A239" s="412"/>
      <c r="B239" s="796"/>
      <c r="C239" s="797"/>
      <c r="D239" s="802">
        <f>SUM(D3:D238)</f>
        <v>3540</v>
      </c>
      <c r="E239" s="803">
        <f>SUM(E3:E238)</f>
        <v>1180</v>
      </c>
    </row>
    <row r="240" spans="1:5" ht="18.75">
      <c r="A240" s="91"/>
      <c r="B240" s="794"/>
      <c r="C240" s="793"/>
    </row>
    <row r="241" spans="1:3" ht="18.75">
      <c r="A241" s="91"/>
      <c r="B241" s="792"/>
      <c r="C241" s="793"/>
    </row>
    <row r="242" spans="1:3" ht="18.75">
      <c r="A242" s="91"/>
      <c r="B242" s="792"/>
      <c r="C242" s="793"/>
    </row>
    <row r="243" spans="1:3" ht="18.75">
      <c r="A243" s="91"/>
      <c r="B243" s="794"/>
      <c r="C243" s="793"/>
    </row>
    <row r="244" spans="1:3" ht="18.75">
      <c r="B244" s="792"/>
      <c r="C244" s="793"/>
    </row>
    <row r="245" spans="1:3" ht="18.75">
      <c r="B245" s="792"/>
      <c r="C245" s="793"/>
    </row>
    <row r="246" spans="1:3" ht="18.75">
      <c r="B246" s="794"/>
      <c r="C246" s="793"/>
    </row>
    <row r="247" spans="1:3" ht="18.75">
      <c r="B247" s="792"/>
      <c r="C247" s="793"/>
    </row>
    <row r="248" spans="1:3" ht="18.75">
      <c r="B248" s="792"/>
      <c r="C248" s="793"/>
    </row>
    <row r="249" spans="1:3" ht="18.75">
      <c r="B249" s="794"/>
      <c r="C249" s="793"/>
    </row>
    <row r="250" spans="1:3" ht="18.75">
      <c r="B250" s="792"/>
      <c r="C250" s="793"/>
    </row>
    <row r="251" spans="1:3" ht="18.75">
      <c r="B251" s="792"/>
      <c r="C251" s="793"/>
    </row>
    <row r="252" spans="1:3" ht="18.75">
      <c r="B252" s="794"/>
      <c r="C252" s="793"/>
    </row>
    <row r="253" spans="1:3" ht="18.75">
      <c r="B253" s="792"/>
      <c r="C253" s="793"/>
    </row>
    <row r="254" spans="1:3">
      <c r="B254" s="91"/>
      <c r="C254" s="91"/>
    </row>
  </sheetData>
  <mergeCells count="3">
    <mergeCell ref="A2:C2"/>
    <mergeCell ref="D1:D2"/>
    <mergeCell ref="E1:E2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3:K62"/>
  <sheetViews>
    <sheetView workbookViewId="0">
      <selection activeCell="C5" sqref="C5"/>
    </sheetView>
  </sheetViews>
  <sheetFormatPr baseColWidth="10" defaultRowHeight="12.75"/>
  <cols>
    <col min="1" max="1" width="19.28515625" customWidth="1"/>
    <col min="8" max="8" width="19.85546875" bestFit="1" customWidth="1"/>
  </cols>
  <sheetData>
    <row r="3" spans="1:11" ht="16.5" thickBot="1">
      <c r="A3" s="96" t="s">
        <v>63</v>
      </c>
      <c r="H3" s="698" t="s">
        <v>726</v>
      </c>
      <c r="I3" s="699"/>
    </row>
    <row r="4" spans="1:11" ht="16.5" thickBot="1">
      <c r="A4" s="25"/>
      <c r="B4" s="22" t="s">
        <v>37</v>
      </c>
      <c r="C4" s="22" t="s">
        <v>38</v>
      </c>
      <c r="D4" s="22" t="s">
        <v>39</v>
      </c>
      <c r="E4" s="22" t="s">
        <v>40</v>
      </c>
      <c r="F4" s="95" t="s">
        <v>41</v>
      </c>
      <c r="G4" s="88"/>
      <c r="H4" s="648" t="s">
        <v>722</v>
      </c>
      <c r="I4" s="649">
        <v>300</v>
      </c>
      <c r="J4" s="88"/>
      <c r="K4" s="88"/>
    </row>
    <row r="5" spans="1:11" ht="13.5" thickBot="1">
      <c r="A5" s="23" t="s">
        <v>46</v>
      </c>
      <c r="B5" s="290">
        <f>+I4*12</f>
        <v>3600</v>
      </c>
      <c r="C5" s="290">
        <f>+B5*1.0549</f>
        <v>3797.64</v>
      </c>
      <c r="D5" s="290">
        <f t="shared" ref="D5:F5" si="0">+C5*1.0549</f>
        <v>4006.1304359999995</v>
      </c>
      <c r="E5" s="290">
        <f t="shared" si="0"/>
        <v>4226.0669969363989</v>
      </c>
      <c r="F5" s="290">
        <f t="shared" si="0"/>
        <v>4458.078075068207</v>
      </c>
      <c r="G5" s="90"/>
      <c r="H5" s="89"/>
      <c r="I5" s="89"/>
      <c r="J5" s="89"/>
      <c r="K5" s="89"/>
    </row>
    <row r="6" spans="1:11" ht="13.5" thickBot="1">
      <c r="A6" s="23" t="s">
        <v>42</v>
      </c>
      <c r="B6" s="290">
        <v>437.4</v>
      </c>
      <c r="C6" s="290">
        <f>+B6*1.0549</f>
        <v>461.41325999999998</v>
      </c>
      <c r="D6" s="290">
        <f t="shared" ref="D6:F6" si="1">+C6*1.0549</f>
        <v>486.74484797399998</v>
      </c>
      <c r="E6" s="290">
        <f t="shared" si="1"/>
        <v>513.46714012777261</v>
      </c>
      <c r="F6" s="290">
        <f t="shared" si="1"/>
        <v>541.65648612078735</v>
      </c>
      <c r="G6" s="90"/>
      <c r="H6" s="89"/>
      <c r="I6" s="89"/>
      <c r="J6" s="89"/>
      <c r="K6" s="89"/>
    </row>
    <row r="7" spans="1:11" ht="13.5" thickBot="1">
      <c r="A7" s="23" t="s">
        <v>43</v>
      </c>
      <c r="B7" s="290"/>
      <c r="C7" s="290">
        <f>+C5*8.33%</f>
        <v>316.343412</v>
      </c>
      <c r="D7" s="290">
        <f t="shared" ref="D7:F7" si="2">+D5*8.33%</f>
        <v>333.71066531879995</v>
      </c>
      <c r="E7" s="290">
        <f t="shared" si="2"/>
        <v>352.03138084480202</v>
      </c>
      <c r="F7" s="290">
        <f t="shared" si="2"/>
        <v>371.35790365318167</v>
      </c>
      <c r="G7" s="90"/>
      <c r="H7" s="89"/>
      <c r="I7" s="665"/>
      <c r="J7" s="89"/>
      <c r="K7" s="89"/>
    </row>
    <row r="8" spans="1:11" ht="13.5" thickBot="1">
      <c r="A8" s="23" t="s">
        <v>44</v>
      </c>
      <c r="B8" s="290">
        <f>+B5/12</f>
        <v>300</v>
      </c>
      <c r="C8" s="290">
        <f>+C5/12</f>
        <v>316.46999999999997</v>
      </c>
      <c r="D8" s="290">
        <f t="shared" ref="D8:F8" si="3">+D5/12</f>
        <v>333.84420299999994</v>
      </c>
      <c r="E8" s="290">
        <f t="shared" si="3"/>
        <v>352.17224974469991</v>
      </c>
      <c r="F8" s="290">
        <f t="shared" si="3"/>
        <v>371.50650625568392</v>
      </c>
      <c r="G8" s="90"/>
      <c r="H8" s="89"/>
      <c r="I8" s="89"/>
      <c r="J8" s="89"/>
      <c r="K8" s="89"/>
    </row>
    <row r="9" spans="1:11" ht="13.5" thickBot="1">
      <c r="A9" s="23" t="s">
        <v>45</v>
      </c>
      <c r="B9" s="290">
        <v>292</v>
      </c>
      <c r="C9" s="290">
        <f>+B9*1.0549</f>
        <v>308.0308</v>
      </c>
      <c r="D9" s="290">
        <f t="shared" ref="D9:F9" si="4">+C9*1.0549</f>
        <v>324.94169091999998</v>
      </c>
      <c r="E9" s="290">
        <f t="shared" si="4"/>
        <v>342.78098975150795</v>
      </c>
      <c r="F9" s="290">
        <f t="shared" si="4"/>
        <v>361.59966608886572</v>
      </c>
      <c r="G9" s="90"/>
      <c r="H9" s="90"/>
      <c r="I9" s="90"/>
      <c r="J9" s="90"/>
      <c r="K9" s="90"/>
    </row>
    <row r="10" spans="1:11" ht="13.5" thickBot="1">
      <c r="A10" s="23" t="s">
        <v>679</v>
      </c>
      <c r="B10" s="290">
        <f>+B5/24</f>
        <v>150</v>
      </c>
      <c r="C10" s="290">
        <f>+C5/24</f>
        <v>158.23499999999999</v>
      </c>
      <c r="D10" s="290">
        <f t="shared" ref="D10:F10" si="5">+D5/24</f>
        <v>166.92210149999997</v>
      </c>
      <c r="E10" s="290">
        <f t="shared" si="5"/>
        <v>176.08612487234996</v>
      </c>
      <c r="F10" s="290">
        <f t="shared" si="5"/>
        <v>185.75325312784196</v>
      </c>
      <c r="G10" s="90"/>
      <c r="H10" s="90"/>
      <c r="I10" s="90"/>
      <c r="J10" s="90"/>
      <c r="K10" s="90"/>
    </row>
    <row r="11" spans="1:11" ht="13.5" thickBot="1">
      <c r="A11" s="23" t="s">
        <v>2</v>
      </c>
      <c r="B11" s="290">
        <f>SUM(B5:B10)</f>
        <v>4779.3999999999996</v>
      </c>
      <c r="C11" s="290">
        <f t="shared" ref="C11:F11" si="6">SUM(C5:C10)</f>
        <v>5358.1324720000002</v>
      </c>
      <c r="D11" s="290">
        <f t="shared" si="6"/>
        <v>5652.2939447127992</v>
      </c>
      <c r="E11" s="290">
        <f t="shared" si="6"/>
        <v>5962.6048822775319</v>
      </c>
      <c r="F11" s="290">
        <f t="shared" si="6"/>
        <v>6289.9518903145681</v>
      </c>
      <c r="G11" s="90"/>
      <c r="H11" s="90"/>
      <c r="I11" s="90"/>
      <c r="J11" s="90"/>
      <c r="K11" s="90"/>
    </row>
    <row r="12" spans="1:11">
      <c r="B12" s="37"/>
      <c r="C12" s="37"/>
      <c r="D12" s="37"/>
      <c r="E12" s="37"/>
      <c r="F12" s="37"/>
      <c r="G12" s="632"/>
      <c r="H12" s="91"/>
      <c r="I12" s="91"/>
      <c r="J12" s="91"/>
      <c r="K12" s="91"/>
    </row>
    <row r="13" spans="1:11">
      <c r="B13" s="37"/>
      <c r="C13" s="37"/>
      <c r="D13" s="37"/>
      <c r="E13" s="37"/>
      <c r="F13" s="37"/>
      <c r="G13" s="632"/>
      <c r="H13" s="91"/>
      <c r="I13" s="91"/>
      <c r="J13" s="91"/>
      <c r="K13" s="91"/>
    </row>
    <row r="14" spans="1:11" ht="13.5" thickBot="1">
      <c r="B14" s="37"/>
      <c r="C14" s="37"/>
      <c r="D14" s="37"/>
      <c r="E14" s="37"/>
      <c r="F14" s="37"/>
      <c r="G14" s="632"/>
      <c r="H14" s="91"/>
      <c r="I14" s="91"/>
      <c r="J14" s="91"/>
      <c r="K14" s="91"/>
    </row>
    <row r="15" spans="1:11" ht="30.75" thickBot="1">
      <c r="A15" s="31" t="s">
        <v>47</v>
      </c>
      <c r="B15" s="633" t="s">
        <v>48</v>
      </c>
      <c r="C15" s="633" t="s">
        <v>49</v>
      </c>
      <c r="D15" s="633" t="s">
        <v>50</v>
      </c>
      <c r="E15" s="633" t="s">
        <v>51</v>
      </c>
      <c r="F15" s="634" t="s">
        <v>52</v>
      </c>
      <c r="G15" s="635"/>
      <c r="H15" s="92"/>
      <c r="I15" s="92"/>
      <c r="J15" s="92"/>
      <c r="K15" s="92"/>
    </row>
    <row r="16" spans="1:11" ht="15.75" thickBot="1">
      <c r="A16" s="26"/>
      <c r="B16" s="636"/>
      <c r="C16" s="636"/>
      <c r="D16" s="636"/>
      <c r="E16" s="636"/>
      <c r="F16" s="637"/>
      <c r="G16" s="638"/>
      <c r="H16" s="93"/>
      <c r="I16" s="93"/>
      <c r="J16" s="93"/>
      <c r="K16" s="93"/>
    </row>
    <row r="17" spans="1:11" ht="15.75" thickBot="1">
      <c r="A17" s="26" t="s">
        <v>54</v>
      </c>
      <c r="B17" s="639">
        <f>+B11</f>
        <v>4779.3999999999996</v>
      </c>
      <c r="C17" s="639">
        <f t="shared" ref="C17:F17" si="7">+C11</f>
        <v>5358.1324720000002</v>
      </c>
      <c r="D17" s="639">
        <f t="shared" si="7"/>
        <v>5652.2939447127992</v>
      </c>
      <c r="E17" s="639">
        <f t="shared" si="7"/>
        <v>5962.6048822775319</v>
      </c>
      <c r="F17" s="640">
        <f t="shared" si="7"/>
        <v>6289.9518903145681</v>
      </c>
      <c r="G17" s="94"/>
      <c r="H17" s="94"/>
      <c r="I17" s="94"/>
      <c r="J17" s="94"/>
      <c r="K17" s="94"/>
    </row>
    <row r="18" spans="1:11" ht="15.75" thickBot="1">
      <c r="A18" s="26" t="s">
        <v>55</v>
      </c>
      <c r="B18" s="639">
        <f t="shared" ref="B18:F18" si="8">SUM(B17:B17)</f>
        <v>4779.3999999999996</v>
      </c>
      <c r="C18" s="639">
        <f t="shared" si="8"/>
        <v>5358.1324720000002</v>
      </c>
      <c r="D18" s="639">
        <f t="shared" si="8"/>
        <v>5652.2939447127992</v>
      </c>
      <c r="E18" s="639">
        <f t="shared" si="8"/>
        <v>5962.6048822775319</v>
      </c>
      <c r="F18" s="640">
        <f t="shared" si="8"/>
        <v>6289.9518903145681</v>
      </c>
      <c r="G18" s="94"/>
      <c r="H18" s="94"/>
      <c r="I18" s="94"/>
      <c r="J18" s="94"/>
      <c r="K18" s="94"/>
    </row>
    <row r="19" spans="1:11">
      <c r="B19" s="37"/>
      <c r="C19" s="37"/>
      <c r="D19" s="37"/>
      <c r="E19" s="37"/>
      <c r="F19" s="37"/>
      <c r="G19" s="37"/>
    </row>
    <row r="20" spans="1:11">
      <c r="B20" s="37"/>
      <c r="C20" s="37"/>
      <c r="D20" s="37"/>
      <c r="E20" s="37"/>
      <c r="F20" s="37"/>
      <c r="G20" s="37"/>
    </row>
    <row r="21" spans="1:11">
      <c r="B21" s="37"/>
      <c r="C21" s="37"/>
      <c r="D21" s="37"/>
      <c r="E21" s="37"/>
      <c r="F21" s="37"/>
      <c r="G21" s="37"/>
    </row>
    <row r="22" spans="1:11">
      <c r="B22" s="37"/>
      <c r="C22" s="37"/>
      <c r="D22" s="37"/>
      <c r="E22" s="37"/>
      <c r="F22" s="37"/>
      <c r="G22" s="37"/>
    </row>
    <row r="23" spans="1:11">
      <c r="B23" s="37"/>
      <c r="C23" s="37"/>
      <c r="D23" s="37"/>
      <c r="E23" s="37"/>
      <c r="F23" s="37"/>
      <c r="G23" s="37"/>
    </row>
    <row r="24" spans="1:11">
      <c r="B24" s="37"/>
      <c r="C24" s="37"/>
      <c r="D24" s="37"/>
      <c r="E24" s="37"/>
      <c r="F24" s="37"/>
      <c r="G24" s="37"/>
    </row>
    <row r="25" spans="1:11">
      <c r="B25" s="37"/>
      <c r="C25" s="37"/>
      <c r="D25" s="37"/>
      <c r="E25" s="37"/>
      <c r="F25" s="37"/>
      <c r="G25" s="37"/>
    </row>
    <row r="26" spans="1:11">
      <c r="B26" s="37"/>
      <c r="C26" s="37"/>
      <c r="D26" s="37"/>
      <c r="E26" s="37"/>
      <c r="F26" s="37"/>
      <c r="G26" s="37"/>
    </row>
    <row r="27" spans="1:11">
      <c r="B27" s="37"/>
      <c r="C27" s="37"/>
      <c r="D27" s="37"/>
      <c r="E27" s="37"/>
      <c r="F27" s="37"/>
      <c r="G27" s="37"/>
    </row>
    <row r="28" spans="1:11">
      <c r="B28" s="37"/>
      <c r="C28" s="37"/>
      <c r="D28" s="37"/>
      <c r="E28" s="37"/>
      <c r="F28" s="37"/>
      <c r="G28" s="37"/>
    </row>
    <row r="29" spans="1:11">
      <c r="B29" s="37"/>
      <c r="C29" s="37"/>
      <c r="D29" s="37"/>
      <c r="E29" s="37"/>
      <c r="F29" s="37"/>
      <c r="G29" s="37"/>
    </row>
    <row r="30" spans="1:11">
      <c r="B30" s="37"/>
      <c r="C30" s="37"/>
      <c r="D30" s="37"/>
      <c r="E30" s="37"/>
      <c r="F30" s="37"/>
      <c r="G30" s="37"/>
    </row>
    <row r="31" spans="1:11">
      <c r="B31" s="37"/>
      <c r="C31" s="37"/>
      <c r="D31" s="37"/>
      <c r="E31" s="37"/>
      <c r="F31" s="37"/>
      <c r="G31" s="37"/>
    </row>
    <row r="32" spans="1:11">
      <c r="B32" s="37"/>
      <c r="C32" s="37"/>
      <c r="D32" s="37"/>
      <c r="E32" s="37"/>
      <c r="F32" s="37"/>
      <c r="G32" s="37"/>
    </row>
    <row r="33" spans="2:7">
      <c r="B33" s="37"/>
      <c r="C33" s="37"/>
      <c r="D33" s="37"/>
      <c r="E33" s="37"/>
      <c r="F33" s="37"/>
      <c r="G33" s="37"/>
    </row>
    <row r="34" spans="2:7">
      <c r="B34" s="37"/>
      <c r="C34" s="37"/>
      <c r="D34" s="37"/>
      <c r="E34" s="37"/>
      <c r="F34" s="37"/>
      <c r="G34" s="37"/>
    </row>
    <row r="35" spans="2:7">
      <c r="B35" s="37"/>
      <c r="C35" s="37"/>
      <c r="D35" s="37"/>
      <c r="E35" s="37"/>
      <c r="F35" s="37"/>
      <c r="G35" s="37"/>
    </row>
    <row r="36" spans="2:7">
      <c r="B36" s="37"/>
      <c r="C36" s="37"/>
      <c r="D36" s="37"/>
      <c r="E36" s="37"/>
      <c r="F36" s="37"/>
      <c r="G36" s="37"/>
    </row>
    <row r="37" spans="2:7">
      <c r="B37" s="37"/>
      <c r="C37" s="37"/>
      <c r="D37" s="37"/>
      <c r="E37" s="37"/>
      <c r="F37" s="37"/>
      <c r="G37" s="37"/>
    </row>
    <row r="38" spans="2:7">
      <c r="B38" s="37"/>
      <c r="C38" s="37"/>
      <c r="D38" s="37"/>
      <c r="E38" s="37"/>
      <c r="F38" s="37"/>
      <c r="G38" s="37"/>
    </row>
    <row r="39" spans="2:7">
      <c r="B39" s="37"/>
      <c r="C39" s="37"/>
      <c r="D39" s="37"/>
      <c r="E39" s="37"/>
      <c r="F39" s="37"/>
      <c r="G39" s="37"/>
    </row>
    <row r="40" spans="2:7">
      <c r="B40" s="37"/>
      <c r="C40" s="37"/>
      <c r="D40" s="37"/>
      <c r="E40" s="37"/>
      <c r="F40" s="37"/>
      <c r="G40" s="37"/>
    </row>
    <row r="41" spans="2:7">
      <c r="B41" s="37"/>
      <c r="C41" s="37"/>
      <c r="D41" s="37"/>
      <c r="E41" s="37"/>
      <c r="F41" s="37"/>
      <c r="G41" s="37"/>
    </row>
    <row r="42" spans="2:7">
      <c r="B42" s="37"/>
      <c r="C42" s="37"/>
      <c r="D42" s="37"/>
      <c r="E42" s="37"/>
      <c r="F42" s="37"/>
      <c r="G42" s="37"/>
    </row>
    <row r="43" spans="2:7">
      <c r="B43" s="37"/>
      <c r="C43" s="37"/>
      <c r="D43" s="37"/>
      <c r="E43" s="37"/>
      <c r="F43" s="37"/>
      <c r="G43" s="37"/>
    </row>
    <row r="44" spans="2:7">
      <c r="B44" s="37"/>
      <c r="C44" s="37"/>
      <c r="D44" s="37"/>
      <c r="E44" s="37"/>
      <c r="F44" s="37"/>
      <c r="G44" s="37"/>
    </row>
    <row r="45" spans="2:7">
      <c r="B45" s="37"/>
      <c r="C45" s="37"/>
      <c r="D45" s="37"/>
      <c r="E45" s="37"/>
      <c r="F45" s="37"/>
      <c r="G45" s="37"/>
    </row>
    <row r="46" spans="2:7">
      <c r="B46" s="37"/>
      <c r="C46" s="37"/>
      <c r="D46" s="37"/>
      <c r="E46" s="37"/>
      <c r="F46" s="37"/>
      <c r="G46" s="37"/>
    </row>
    <row r="47" spans="2:7">
      <c r="B47" s="37"/>
      <c r="C47" s="37"/>
      <c r="D47" s="37"/>
      <c r="E47" s="37"/>
      <c r="F47" s="37"/>
      <c r="G47" s="37"/>
    </row>
    <row r="48" spans="2:7">
      <c r="B48" s="37"/>
      <c r="C48" s="37"/>
      <c r="D48" s="37"/>
      <c r="E48" s="37"/>
      <c r="F48" s="37"/>
      <c r="G48" s="37"/>
    </row>
    <row r="49" spans="2:7">
      <c r="B49" s="37"/>
      <c r="C49" s="37"/>
      <c r="D49" s="37"/>
      <c r="E49" s="37"/>
      <c r="F49" s="37"/>
      <c r="G49" s="37"/>
    </row>
    <row r="50" spans="2:7">
      <c r="B50" s="37"/>
      <c r="C50" s="37"/>
      <c r="D50" s="37"/>
      <c r="E50" s="37"/>
      <c r="F50" s="37"/>
      <c r="G50" s="37"/>
    </row>
    <row r="51" spans="2:7">
      <c r="B51" s="37"/>
      <c r="C51" s="37"/>
      <c r="D51" s="37"/>
      <c r="E51" s="37"/>
      <c r="F51" s="37"/>
      <c r="G51" s="37"/>
    </row>
    <row r="52" spans="2:7">
      <c r="B52" s="37"/>
      <c r="C52" s="37"/>
      <c r="D52" s="37"/>
      <c r="E52" s="37"/>
      <c r="F52" s="37"/>
      <c r="G52" s="37"/>
    </row>
    <row r="53" spans="2:7">
      <c r="B53" s="37"/>
      <c r="C53" s="37"/>
      <c r="D53" s="37"/>
      <c r="E53" s="37"/>
      <c r="F53" s="37"/>
      <c r="G53" s="37"/>
    </row>
    <row r="54" spans="2:7">
      <c r="B54" s="37"/>
      <c r="C54" s="37"/>
      <c r="D54" s="37"/>
      <c r="E54" s="37"/>
      <c r="F54" s="37"/>
      <c r="G54" s="37"/>
    </row>
    <row r="55" spans="2:7">
      <c r="B55" s="37"/>
      <c r="C55" s="37"/>
      <c r="D55" s="37"/>
      <c r="E55" s="37"/>
      <c r="F55" s="37"/>
      <c r="G55" s="37"/>
    </row>
    <row r="56" spans="2:7">
      <c r="B56" s="37"/>
      <c r="C56" s="37"/>
      <c r="D56" s="37"/>
      <c r="E56" s="37"/>
      <c r="F56" s="37"/>
      <c r="G56" s="37"/>
    </row>
    <row r="57" spans="2:7">
      <c r="B57" s="37"/>
      <c r="C57" s="37"/>
      <c r="D57" s="37"/>
      <c r="E57" s="37"/>
      <c r="F57" s="37"/>
      <c r="G57" s="37"/>
    </row>
    <row r="58" spans="2:7">
      <c r="B58" s="37"/>
      <c r="C58" s="37"/>
      <c r="D58" s="37"/>
      <c r="E58" s="37"/>
      <c r="F58" s="37"/>
      <c r="G58" s="37"/>
    </row>
    <row r="59" spans="2:7">
      <c r="B59" s="37"/>
      <c r="C59" s="37"/>
      <c r="D59" s="37"/>
      <c r="E59" s="37"/>
      <c r="F59" s="37"/>
      <c r="G59" s="37"/>
    </row>
    <row r="60" spans="2:7">
      <c r="B60" s="37"/>
      <c r="C60" s="37"/>
      <c r="D60" s="37"/>
      <c r="E60" s="37"/>
      <c r="F60" s="37"/>
      <c r="G60" s="37"/>
    </row>
    <row r="61" spans="2:7">
      <c r="B61" s="37"/>
      <c r="C61" s="37"/>
      <c r="D61" s="37"/>
      <c r="E61" s="37"/>
      <c r="F61" s="37"/>
      <c r="G61" s="37"/>
    </row>
    <row r="62" spans="2:7">
      <c r="B62" s="37"/>
      <c r="C62" s="37"/>
      <c r="D62" s="37"/>
      <c r="E62" s="37"/>
      <c r="F62" s="37"/>
      <c r="G62" s="37"/>
    </row>
  </sheetData>
  <mergeCells count="1">
    <mergeCell ref="H3:I3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topLeftCell="A10" workbookViewId="0">
      <selection activeCell="D7" sqref="D7"/>
    </sheetView>
  </sheetViews>
  <sheetFormatPr baseColWidth="10" defaultRowHeight="15"/>
  <cols>
    <col min="1" max="1" width="15.28515625" style="417" customWidth="1"/>
    <col min="2" max="2" width="5.5703125" style="417" customWidth="1"/>
    <col min="3" max="3" width="10.7109375" style="417" customWidth="1"/>
    <col min="4" max="4" width="8.42578125" style="417" customWidth="1"/>
    <col min="5" max="5" width="26.5703125" style="508" customWidth="1"/>
    <col min="6" max="6" width="14.7109375" style="417" customWidth="1"/>
    <col min="7" max="9" width="11.42578125" style="417"/>
    <col min="10" max="10" width="14.5703125" style="417" bestFit="1" customWidth="1"/>
    <col min="11" max="11" width="13.5703125" style="417" bestFit="1" customWidth="1"/>
    <col min="12" max="16384" width="11.42578125" style="417"/>
  </cols>
  <sheetData>
    <row r="1" spans="1:13" ht="15.75" thickBot="1">
      <c r="A1" s="488" t="s">
        <v>625</v>
      </c>
      <c r="B1" s="489" t="s">
        <v>157</v>
      </c>
      <c r="C1" s="490" t="s">
        <v>626</v>
      </c>
      <c r="D1" s="490" t="s">
        <v>16</v>
      </c>
      <c r="E1" s="491" t="s">
        <v>627</v>
      </c>
      <c r="F1" s="489" t="s">
        <v>628</v>
      </c>
    </row>
    <row r="2" spans="1:13" ht="36.75">
      <c r="A2" s="492" t="s">
        <v>629</v>
      </c>
      <c r="B2" s="493">
        <v>0.98</v>
      </c>
      <c r="C2" s="494">
        <f>+I2*Tabla16[[#This Row],[%]]</f>
        <v>1404.34</v>
      </c>
      <c r="D2" s="495">
        <v>12650</v>
      </c>
      <c r="E2" s="492" t="s">
        <v>630</v>
      </c>
      <c r="F2" s="496" t="s">
        <v>631</v>
      </c>
      <c r="H2" s="417" t="s">
        <v>632</v>
      </c>
      <c r="I2" s="417">
        <v>1433</v>
      </c>
    </row>
    <row r="3" spans="1:13" ht="76.5" customHeight="1">
      <c r="A3" s="497" t="s">
        <v>633</v>
      </c>
      <c r="B3" s="493">
        <v>0.61</v>
      </c>
      <c r="C3" s="498">
        <f>+I2*Tabla16[[#This Row],[%]]</f>
        <v>874.13</v>
      </c>
      <c r="D3" s="499" t="s">
        <v>634</v>
      </c>
      <c r="E3" s="500" t="s">
        <v>635</v>
      </c>
      <c r="F3" s="501" t="s">
        <v>87</v>
      </c>
      <c r="J3" s="417">
        <v>767</v>
      </c>
      <c r="K3" s="417">
        <v>100</v>
      </c>
    </row>
    <row r="4" spans="1:13" ht="26.25">
      <c r="A4" s="497" t="s">
        <v>636</v>
      </c>
      <c r="B4" s="493">
        <v>0.92</v>
      </c>
      <c r="C4" s="498">
        <f>+I2*Tabla16[[#This Row],[%]]</f>
        <v>1318.3600000000001</v>
      </c>
      <c r="D4" s="499">
        <f>+D2*Tabla16[[#This Row],[%]]</f>
        <v>11638</v>
      </c>
      <c r="E4" s="500" t="s">
        <v>637</v>
      </c>
      <c r="F4" s="502" t="s">
        <v>631</v>
      </c>
      <c r="J4" s="417">
        <v>45.46</v>
      </c>
      <c r="L4" s="417">
        <f>+J4*K3</f>
        <v>4546</v>
      </c>
    </row>
    <row r="5" spans="1:13" ht="39">
      <c r="A5" s="497" t="s">
        <v>638</v>
      </c>
      <c r="B5" s="493">
        <v>0.78</v>
      </c>
      <c r="C5" s="498">
        <f>+I2*Tabla16[[#This Row],[%]]</f>
        <v>1117.74</v>
      </c>
      <c r="D5" s="503">
        <f>(450.6*90%)*(78%)</f>
        <v>316.32120000000003</v>
      </c>
      <c r="E5" s="497" t="s">
        <v>639</v>
      </c>
      <c r="F5" s="502" t="s">
        <v>640</v>
      </c>
      <c r="L5" s="417">
        <f>+L4/J3</f>
        <v>5.9269882659713167</v>
      </c>
    </row>
    <row r="6" spans="1:13" ht="90.75" customHeight="1">
      <c r="A6" s="497" t="s">
        <v>641</v>
      </c>
      <c r="B6" s="504">
        <v>0.66</v>
      </c>
      <c r="C6" s="505">
        <f>+I2*Tabla16[[#This Row],[%]]</f>
        <v>945.78000000000009</v>
      </c>
      <c r="D6" s="506">
        <f>+'[1]flujo agricultor 1'!$M$45</f>
        <v>449.85050394277732</v>
      </c>
      <c r="E6" s="500" t="s">
        <v>642</v>
      </c>
      <c r="F6" s="501" t="s">
        <v>643</v>
      </c>
      <c r="J6" s="507">
        <f>45460612049/10000</f>
        <v>4546061.2049000002</v>
      </c>
      <c r="K6" s="427" t="s">
        <v>644</v>
      </c>
      <c r="L6" s="427"/>
      <c r="M6" s="508" t="s">
        <v>645</v>
      </c>
    </row>
    <row r="7" spans="1:13" ht="51" customHeight="1">
      <c r="A7" s="497" t="s">
        <v>646</v>
      </c>
      <c r="B7" s="493">
        <v>0.35</v>
      </c>
      <c r="C7" s="498">
        <f>+I2*Tabla16[[#This Row],[%]]</f>
        <v>501.54999999999995</v>
      </c>
      <c r="D7" s="670">
        <v>188.53</v>
      </c>
      <c r="E7" s="497" t="s">
        <v>647</v>
      </c>
      <c r="F7" s="501" t="s">
        <v>648</v>
      </c>
      <c r="H7" s="417">
        <f>1500/4</f>
        <v>375</v>
      </c>
      <c r="J7" s="427">
        <f>45460612.049/1000000</f>
        <v>45.460612049000005</v>
      </c>
      <c r="K7" s="427" t="s">
        <v>649</v>
      </c>
      <c r="L7" s="427"/>
      <c r="M7" s="508" t="s">
        <v>645</v>
      </c>
    </row>
    <row r="8" spans="1:13" ht="45">
      <c r="A8" s="497" t="s">
        <v>650</v>
      </c>
      <c r="B8" s="493">
        <v>0.93820000000000003</v>
      </c>
      <c r="C8" s="509">
        <f>+I2*Tabla16[[#This Row],[%]]</f>
        <v>1344.4406000000001</v>
      </c>
      <c r="D8" s="510">
        <f>+D4*Tabla16[[#This Row],[%]]</f>
        <v>10918.7716</v>
      </c>
      <c r="E8" s="497" t="s">
        <v>651</v>
      </c>
      <c r="F8" s="501" t="s">
        <v>87</v>
      </c>
      <c r="J8" s="511">
        <f>4546.061*0.1</f>
        <v>454.60609999999997</v>
      </c>
      <c r="K8" s="427" t="s">
        <v>652</v>
      </c>
      <c r="L8" s="427"/>
      <c r="M8" s="508" t="s">
        <v>645</v>
      </c>
    </row>
    <row r="9" spans="1:13" ht="45">
      <c r="A9" s="497" t="s">
        <v>653</v>
      </c>
      <c r="B9" s="493">
        <v>6.1800000000000001E-2</v>
      </c>
      <c r="C9" s="498"/>
      <c r="D9" s="512">
        <f>+D4*Tabla16[[#This Row],[%]]</f>
        <v>719.22839999999997</v>
      </c>
      <c r="E9" s="497" t="s">
        <v>654</v>
      </c>
      <c r="F9" s="501" t="s">
        <v>87</v>
      </c>
      <c r="J9" s="427">
        <f>+J8*0.9</f>
        <v>409.14549</v>
      </c>
      <c r="K9" s="427" t="s">
        <v>655</v>
      </c>
      <c r="L9" s="427"/>
      <c r="M9" s="508" t="s">
        <v>645</v>
      </c>
    </row>
    <row r="10" spans="1:13" ht="48.75">
      <c r="A10" s="497" t="s">
        <v>656</v>
      </c>
      <c r="B10" s="493">
        <v>0.74</v>
      </c>
      <c r="C10" s="513">
        <f>+I2*Tabla16[[#This Row],[%]]</f>
        <v>1060.42</v>
      </c>
      <c r="D10" s="510"/>
      <c r="E10" s="497" t="s">
        <v>657</v>
      </c>
      <c r="F10" s="501" t="s">
        <v>87</v>
      </c>
      <c r="J10" s="417">
        <f>+J7*0.1%</f>
        <v>4.5460612049000003E-2</v>
      </c>
    </row>
    <row r="11" spans="1:13" ht="48.75">
      <c r="A11" s="497" t="s">
        <v>658</v>
      </c>
      <c r="B11" s="493">
        <v>0.56000000000000005</v>
      </c>
      <c r="C11" s="498">
        <f>+I2*Tabla16[[#This Row],[%]]</f>
        <v>802.48000000000013</v>
      </c>
      <c r="D11" s="499"/>
      <c r="E11" s="497" t="s">
        <v>659</v>
      </c>
      <c r="F11" s="501" t="s">
        <v>87</v>
      </c>
      <c r="H11" s="417" t="s">
        <v>660</v>
      </c>
      <c r="I11" s="417" t="s">
        <v>661</v>
      </c>
    </row>
    <row r="12" spans="1:13" ht="36.75">
      <c r="A12" s="497" t="s">
        <v>662</v>
      </c>
      <c r="B12" s="493">
        <v>0.59</v>
      </c>
      <c r="C12" s="498"/>
      <c r="D12" s="510">
        <f>+D9*B12</f>
        <v>424.34475599999996</v>
      </c>
      <c r="E12" s="497" t="s">
        <v>663</v>
      </c>
      <c r="F12" s="501" t="s">
        <v>87</v>
      </c>
      <c r="H12" s="417" t="s">
        <v>664</v>
      </c>
      <c r="I12" s="417" t="s">
        <v>665</v>
      </c>
    </row>
    <row r="13" spans="1:13" ht="36.75">
      <c r="A13" s="497" t="s">
        <v>666</v>
      </c>
      <c r="B13" s="493"/>
      <c r="C13" s="498"/>
      <c r="D13" s="510">
        <f>+D9-D12</f>
        <v>294.883644</v>
      </c>
      <c r="E13" s="497" t="s">
        <v>667</v>
      </c>
      <c r="F13" s="501" t="s">
        <v>87</v>
      </c>
      <c r="I13" s="417" t="s">
        <v>668</v>
      </c>
    </row>
    <row r="14" spans="1:13" ht="48" customHeight="1">
      <c r="A14" s="497" t="s">
        <v>669</v>
      </c>
      <c r="B14" s="493">
        <v>0.34</v>
      </c>
      <c r="C14" s="498">
        <f>+I2*Tabla16[[#This Row],[%]]</f>
        <v>487.22</v>
      </c>
      <c r="D14" s="499"/>
      <c r="E14" s="514" t="s">
        <v>670</v>
      </c>
      <c r="F14" s="501" t="s">
        <v>87</v>
      </c>
    </row>
    <row r="15" spans="1:13" ht="39" customHeight="1">
      <c r="A15" s="497" t="s">
        <v>671</v>
      </c>
      <c r="B15" s="493"/>
      <c r="C15" s="498"/>
      <c r="D15" s="499">
        <v>146880</v>
      </c>
      <c r="E15" s="500" t="s">
        <v>672</v>
      </c>
      <c r="F15" s="501" t="s">
        <v>87</v>
      </c>
    </row>
    <row r="16" spans="1:13" ht="37.5" thickBot="1">
      <c r="A16" s="515" t="s">
        <v>673</v>
      </c>
      <c r="B16" s="516">
        <f>+D4/D15</f>
        <v>7.9234749455337691E-2</v>
      </c>
      <c r="C16" s="517"/>
      <c r="D16" s="518"/>
      <c r="E16" s="515" t="s">
        <v>674</v>
      </c>
      <c r="F16" s="519" t="s">
        <v>87</v>
      </c>
    </row>
    <row r="17" spans="1:10" ht="25.5" customHeight="1">
      <c r="A17" s="434" t="s">
        <v>675</v>
      </c>
    </row>
    <row r="27" spans="1:10">
      <c r="H27" s="417" t="s">
        <v>676</v>
      </c>
      <c r="I27" s="417">
        <f>767*100</f>
        <v>76700</v>
      </c>
    </row>
    <row r="28" spans="1:10">
      <c r="I28" s="417">
        <f>+I27%</f>
        <v>767</v>
      </c>
    </row>
    <row r="30" spans="1:10">
      <c r="I30" s="417">
        <f>+I28*40%</f>
        <v>306.8</v>
      </c>
      <c r="J30" s="417">
        <f>350*100</f>
        <v>35000</v>
      </c>
    </row>
    <row r="31" spans="1:10">
      <c r="I31" s="417">
        <v>350</v>
      </c>
    </row>
    <row r="32" spans="1:10">
      <c r="I32" s="417">
        <f>350*100/I28</f>
        <v>45.632333767926987</v>
      </c>
    </row>
  </sheetData>
  <pageMargins left="0.7" right="0.7" top="0.75" bottom="0.75" header="0.3" footer="0.3"/>
  <pageSetup paperSize="9" orientation="portrait" horizontalDpi="4294967294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/>
  <dimension ref="A1:F69"/>
  <sheetViews>
    <sheetView workbookViewId="0">
      <selection activeCell="B22" sqref="B22"/>
    </sheetView>
  </sheetViews>
  <sheetFormatPr baseColWidth="10" defaultRowHeight="11.25"/>
  <cols>
    <col min="1" max="1" width="8.7109375" style="151" customWidth="1"/>
    <col min="2" max="2" width="42.7109375" style="151" customWidth="1"/>
    <col min="3" max="3" width="3.7109375" style="151" customWidth="1"/>
    <col min="4" max="4" width="7.140625" style="151" customWidth="1"/>
    <col min="5" max="5" width="6.140625" style="151" customWidth="1"/>
    <col min="6" max="6" width="8.85546875" style="151" customWidth="1"/>
    <col min="7" max="16384" width="11.42578125" style="151"/>
  </cols>
  <sheetData>
    <row r="1" spans="1:6" ht="15.75">
      <c r="A1" s="700" t="s">
        <v>179</v>
      </c>
      <c r="B1" s="700"/>
      <c r="C1" s="700"/>
      <c r="D1" s="700"/>
      <c r="E1" s="700"/>
      <c r="F1" s="700"/>
    </row>
    <row r="2" spans="1:6" ht="11.25" customHeight="1">
      <c r="A2" s="152"/>
      <c r="B2" s="152"/>
      <c r="C2" s="152"/>
      <c r="D2" s="152"/>
      <c r="E2" s="152"/>
      <c r="F2" s="152"/>
    </row>
    <row r="3" spans="1:6" ht="12.75">
      <c r="A3" s="153" t="s">
        <v>180</v>
      </c>
      <c r="B3" s="154"/>
      <c r="C3" s="154"/>
      <c r="D3" s="154"/>
      <c r="E3" s="154"/>
      <c r="F3" s="154"/>
    </row>
    <row r="4" spans="1:6" ht="12.75">
      <c r="A4" s="153" t="s">
        <v>181</v>
      </c>
      <c r="B4" s="154"/>
      <c r="C4" s="154"/>
      <c r="D4" s="154"/>
      <c r="E4" s="154"/>
      <c r="F4" s="154"/>
    </row>
    <row r="5" spans="1:6" ht="12.75">
      <c r="A5" s="153" t="s">
        <v>182</v>
      </c>
      <c r="B5" s="154"/>
      <c r="C5" s="154"/>
      <c r="D5" s="154"/>
      <c r="E5" s="154"/>
      <c r="F5" s="154"/>
    </row>
    <row r="6" spans="1:6" ht="12.75">
      <c r="A6" s="154"/>
      <c r="B6" s="154"/>
      <c r="C6" s="154"/>
      <c r="D6" s="154"/>
      <c r="E6" s="154"/>
      <c r="F6" s="154"/>
    </row>
    <row r="7" spans="1:6" ht="11.25" customHeight="1">
      <c r="A7" s="701" t="s">
        <v>183</v>
      </c>
      <c r="B7" s="701"/>
      <c r="C7" s="701"/>
      <c r="D7" s="701"/>
      <c r="E7" s="701"/>
      <c r="F7" s="701"/>
    </row>
    <row r="8" spans="1:6" ht="12.75">
      <c r="A8" s="154"/>
      <c r="B8" s="154"/>
      <c r="C8" s="154"/>
      <c r="D8" s="154"/>
      <c r="E8" s="154"/>
      <c r="F8" s="154"/>
    </row>
    <row r="9" spans="1:6" ht="33.75">
      <c r="A9" s="155" t="s">
        <v>184</v>
      </c>
      <c r="B9" s="155" t="s">
        <v>15</v>
      </c>
      <c r="C9" s="170" t="s">
        <v>185</v>
      </c>
      <c r="D9" s="170" t="s">
        <v>16</v>
      </c>
      <c r="E9" s="170" t="s">
        <v>186</v>
      </c>
      <c r="F9" s="171" t="s">
        <v>1</v>
      </c>
    </row>
    <row r="10" spans="1:6" ht="12.75">
      <c r="A10" s="156" t="s">
        <v>187</v>
      </c>
      <c r="B10" s="157" t="s">
        <v>188</v>
      </c>
      <c r="C10" s="158"/>
      <c r="D10" s="159"/>
      <c r="E10" s="159"/>
      <c r="F10" s="159"/>
    </row>
    <row r="11" spans="1:6" ht="12.75">
      <c r="A11" s="160" t="s">
        <v>189</v>
      </c>
      <c r="B11" s="161" t="s">
        <v>190</v>
      </c>
      <c r="C11" s="161" t="s">
        <v>191</v>
      </c>
      <c r="D11" s="162">
        <v>191.88</v>
      </c>
      <c r="E11" s="162">
        <v>0.87</v>
      </c>
      <c r="F11" s="162">
        <f t="shared" ref="F11:F13" si="0">D11*E11</f>
        <v>166.93559999999999</v>
      </c>
    </row>
    <row r="12" spans="1:6" ht="12.75">
      <c r="A12" s="160" t="s">
        <v>192</v>
      </c>
      <c r="B12" s="161" t="s">
        <v>193</v>
      </c>
      <c r="C12" s="161" t="s">
        <v>194</v>
      </c>
      <c r="D12" s="162">
        <v>12.6</v>
      </c>
      <c r="E12" s="162">
        <v>0.6</v>
      </c>
      <c r="F12" s="162">
        <f t="shared" si="0"/>
        <v>7.56</v>
      </c>
    </row>
    <row r="13" spans="1:6" ht="12.75">
      <c r="A13" s="160" t="s">
        <v>195</v>
      </c>
      <c r="B13" s="161" t="s">
        <v>196</v>
      </c>
      <c r="C13" s="161" t="s">
        <v>194</v>
      </c>
      <c r="D13" s="162">
        <v>12.6</v>
      </c>
      <c r="E13" s="162">
        <f>+'[2]4'!G65</f>
        <v>1.2452000000000001</v>
      </c>
      <c r="F13" s="162">
        <f t="shared" si="0"/>
        <v>15.68952</v>
      </c>
    </row>
    <row r="14" spans="1:6" ht="12.75">
      <c r="A14" s="156" t="s">
        <v>187</v>
      </c>
      <c r="B14" s="157" t="s">
        <v>197</v>
      </c>
      <c r="C14" s="158"/>
      <c r="D14" s="159"/>
      <c r="E14" s="159"/>
      <c r="F14" s="159"/>
    </row>
    <row r="15" spans="1:6" ht="12.75">
      <c r="A15" s="160" t="s">
        <v>198</v>
      </c>
      <c r="B15" s="161" t="s">
        <v>199</v>
      </c>
      <c r="C15" s="161" t="s">
        <v>194</v>
      </c>
      <c r="D15" s="162">
        <v>0.71</v>
      </c>
      <c r="E15" s="162">
        <v>82.79</v>
      </c>
      <c r="F15" s="162">
        <f>D15*E15</f>
        <v>58.780900000000003</v>
      </c>
    </row>
    <row r="16" spans="1:6" ht="12.75">
      <c r="A16" s="160" t="s">
        <v>200</v>
      </c>
      <c r="B16" s="161" t="s">
        <v>201</v>
      </c>
      <c r="C16" s="161" t="s">
        <v>194</v>
      </c>
      <c r="D16" s="162">
        <v>12.6</v>
      </c>
      <c r="E16" s="162">
        <f>+'[2]6'!G65</f>
        <v>71.878840000000011</v>
      </c>
      <c r="F16" s="162">
        <f t="shared" ref="F16:F20" si="1">D16*E16</f>
        <v>905.67338400000017</v>
      </c>
    </row>
    <row r="17" spans="1:6" ht="12.75">
      <c r="A17" s="160" t="s">
        <v>202</v>
      </c>
      <c r="B17" s="161" t="s">
        <v>203</v>
      </c>
      <c r="C17" s="161" t="s">
        <v>204</v>
      </c>
      <c r="D17" s="162">
        <v>394.33</v>
      </c>
      <c r="E17" s="162">
        <v>1.61</v>
      </c>
      <c r="F17" s="162">
        <f t="shared" si="1"/>
        <v>634.87130000000002</v>
      </c>
    </row>
    <row r="18" spans="1:6" ht="12.75">
      <c r="A18" s="160" t="s">
        <v>205</v>
      </c>
      <c r="B18" s="161" t="s">
        <v>206</v>
      </c>
      <c r="C18" s="161" t="s">
        <v>194</v>
      </c>
      <c r="D18" s="162">
        <v>1.52</v>
      </c>
      <c r="E18" s="162">
        <f>+'[2]8'!G65</f>
        <v>97.933440000000019</v>
      </c>
      <c r="F18" s="162">
        <f t="shared" si="1"/>
        <v>148.85882880000003</v>
      </c>
    </row>
    <row r="19" spans="1:6" ht="12.75">
      <c r="A19" s="160" t="s">
        <v>207</v>
      </c>
      <c r="B19" s="161" t="s">
        <v>208</v>
      </c>
      <c r="C19" s="161" t="s">
        <v>209</v>
      </c>
      <c r="D19" s="162">
        <v>16</v>
      </c>
      <c r="E19" s="162">
        <v>4.8600000000000003</v>
      </c>
      <c r="F19" s="162">
        <f t="shared" si="1"/>
        <v>77.760000000000005</v>
      </c>
    </row>
    <row r="20" spans="1:6" ht="12.75">
      <c r="A20" s="160" t="s">
        <v>210</v>
      </c>
      <c r="B20" s="161" t="s">
        <v>211</v>
      </c>
      <c r="C20" s="161" t="s">
        <v>204</v>
      </c>
      <c r="D20" s="162">
        <v>969.56</v>
      </c>
      <c r="E20" s="162">
        <f>+'[2]10'!G65</f>
        <v>2.9499800000000005</v>
      </c>
      <c r="F20" s="162">
        <f t="shared" si="1"/>
        <v>2860.1826088000003</v>
      </c>
    </row>
    <row r="21" spans="1:6" ht="12.75">
      <c r="A21" s="156" t="s">
        <v>187</v>
      </c>
      <c r="B21" s="157" t="s">
        <v>212</v>
      </c>
      <c r="C21" s="158"/>
      <c r="D21" s="159"/>
      <c r="E21" s="159"/>
      <c r="F21" s="159"/>
    </row>
    <row r="22" spans="1:6" ht="38.25">
      <c r="A22" s="160" t="s">
        <v>213</v>
      </c>
      <c r="B22" s="163" t="s">
        <v>214</v>
      </c>
      <c r="C22" s="164" t="s">
        <v>191</v>
      </c>
      <c r="D22" s="165">
        <v>154</v>
      </c>
      <c r="E22" s="165">
        <f>+'[2]11'!G65</f>
        <v>7.4728227200000008</v>
      </c>
      <c r="F22" s="165">
        <f>D22*E22</f>
        <v>1150.8146988800002</v>
      </c>
    </row>
    <row r="23" spans="1:6" ht="12.75">
      <c r="A23" s="160" t="s">
        <v>215</v>
      </c>
      <c r="B23" s="161" t="s">
        <v>216</v>
      </c>
      <c r="C23" s="161" t="s">
        <v>191</v>
      </c>
      <c r="D23" s="162">
        <v>154</v>
      </c>
      <c r="E23" s="162">
        <f>+'[2]12'!G65</f>
        <v>4.4799699999999989</v>
      </c>
      <c r="F23" s="165">
        <f>D23*E23</f>
        <v>689.9153799999998</v>
      </c>
    </row>
    <row r="24" spans="1:6" ht="12.75">
      <c r="A24" s="156" t="s">
        <v>187</v>
      </c>
      <c r="B24" s="157" t="s">
        <v>217</v>
      </c>
      <c r="C24" s="158"/>
      <c r="D24" s="159"/>
      <c r="E24" s="159"/>
      <c r="F24" s="159"/>
    </row>
    <row r="25" spans="1:6" ht="12.75">
      <c r="A25" s="160" t="s">
        <v>218</v>
      </c>
      <c r="B25" s="161" t="s">
        <v>219</v>
      </c>
      <c r="C25" s="161" t="s">
        <v>191</v>
      </c>
      <c r="D25" s="162">
        <v>207.55</v>
      </c>
      <c r="E25" s="162">
        <f>+'[2]13'!G65</f>
        <v>4.6860956560000009</v>
      </c>
      <c r="F25" s="162">
        <f>D25*E25</f>
        <v>972.5991534028002</v>
      </c>
    </row>
    <row r="26" spans="1:6" ht="12.75">
      <c r="A26" s="156" t="s">
        <v>187</v>
      </c>
      <c r="B26" s="157" t="s">
        <v>220</v>
      </c>
      <c r="C26" s="158"/>
      <c r="D26" s="159"/>
      <c r="E26" s="159"/>
      <c r="F26" s="162"/>
    </row>
    <row r="27" spans="1:6" ht="12.75">
      <c r="A27" s="160" t="s">
        <v>221</v>
      </c>
      <c r="B27" s="161" t="s">
        <v>222</v>
      </c>
      <c r="C27" s="161" t="s">
        <v>191</v>
      </c>
      <c r="D27" s="162">
        <v>207.55</v>
      </c>
      <c r="E27" s="162">
        <f>+'[2]14'!G65</f>
        <v>2.7055600000000002</v>
      </c>
      <c r="F27" s="162">
        <f t="shared" ref="F27:F62" si="2">D27*E27</f>
        <v>561.53897800000004</v>
      </c>
    </row>
    <row r="28" spans="1:6" ht="12.75">
      <c r="A28" s="160" t="s">
        <v>223</v>
      </c>
      <c r="B28" s="161" t="s">
        <v>224</v>
      </c>
      <c r="C28" s="161" t="s">
        <v>191</v>
      </c>
      <c r="D28" s="162">
        <v>207.55</v>
      </c>
      <c r="E28" s="162">
        <v>2.68</v>
      </c>
      <c r="F28" s="162">
        <f t="shared" si="2"/>
        <v>556.23400000000004</v>
      </c>
    </row>
    <row r="29" spans="1:6" ht="12.75">
      <c r="A29" s="160" t="s">
        <v>225</v>
      </c>
      <c r="B29" s="161" t="s">
        <v>226</v>
      </c>
      <c r="C29" s="161" t="s">
        <v>191</v>
      </c>
      <c r="D29" s="162">
        <v>4.6500000000000004</v>
      </c>
      <c r="E29" s="162">
        <v>17.8</v>
      </c>
      <c r="F29" s="162">
        <f t="shared" si="2"/>
        <v>82.77000000000001</v>
      </c>
    </row>
    <row r="30" spans="1:6" ht="12.75">
      <c r="A30" s="160" t="s">
        <v>227</v>
      </c>
      <c r="B30" s="161" t="s">
        <v>228</v>
      </c>
      <c r="C30" s="161" t="s">
        <v>191</v>
      </c>
      <c r="D30" s="162">
        <v>8.7200000000000006</v>
      </c>
      <c r="E30" s="162">
        <v>16.71</v>
      </c>
      <c r="F30" s="162">
        <f t="shared" si="2"/>
        <v>145.71120000000002</v>
      </c>
    </row>
    <row r="31" spans="1:6" ht="12.75">
      <c r="A31" s="160" t="s">
        <v>229</v>
      </c>
      <c r="B31" s="161" t="s">
        <v>230</v>
      </c>
      <c r="C31" s="161" t="s">
        <v>191</v>
      </c>
      <c r="D31" s="162">
        <v>191.88</v>
      </c>
      <c r="E31" s="162">
        <f>+'[2]18'!G65</f>
        <v>9.4406400000000001</v>
      </c>
      <c r="F31" s="162">
        <f t="shared" si="2"/>
        <v>1811.4700032000001</v>
      </c>
    </row>
    <row r="32" spans="1:6" ht="12.75">
      <c r="A32" s="160" t="s">
        <v>231</v>
      </c>
      <c r="B32" s="161" t="s">
        <v>232</v>
      </c>
      <c r="C32" s="161" t="s">
        <v>233</v>
      </c>
      <c r="D32" s="162">
        <v>23.4</v>
      </c>
      <c r="E32" s="162">
        <v>7.51</v>
      </c>
      <c r="F32" s="162">
        <f t="shared" si="2"/>
        <v>175.73399999999998</v>
      </c>
    </row>
    <row r="33" spans="1:6" ht="12.75">
      <c r="A33" s="160" t="s">
        <v>234</v>
      </c>
      <c r="B33" s="161" t="s">
        <v>235</v>
      </c>
      <c r="C33" s="161" t="s">
        <v>191</v>
      </c>
      <c r="D33" s="162">
        <v>12.72</v>
      </c>
      <c r="E33" s="162">
        <v>35.619999999999997</v>
      </c>
      <c r="F33" s="162">
        <f t="shared" si="2"/>
        <v>453.08639999999997</v>
      </c>
    </row>
    <row r="34" spans="1:6" ht="12.75">
      <c r="A34" s="156" t="s">
        <v>187</v>
      </c>
      <c r="B34" s="157" t="s">
        <v>236</v>
      </c>
      <c r="C34" s="158"/>
      <c r="D34" s="159"/>
      <c r="E34" s="159"/>
      <c r="F34" s="162"/>
    </row>
    <row r="35" spans="1:6" ht="12.75">
      <c r="A35" s="160" t="s">
        <v>237</v>
      </c>
      <c r="B35" s="161" t="s">
        <v>238</v>
      </c>
      <c r="C35" s="161" t="s">
        <v>191</v>
      </c>
      <c r="D35" s="162">
        <v>23.96</v>
      </c>
      <c r="E35" s="162">
        <f>+'[2]21'!G65</f>
        <v>36.903789999999994</v>
      </c>
      <c r="F35" s="162">
        <f t="shared" si="2"/>
        <v>884.21480839999992</v>
      </c>
    </row>
    <row r="36" spans="1:6" ht="12.75">
      <c r="A36" s="160" t="s">
        <v>239</v>
      </c>
      <c r="B36" s="161" t="s">
        <v>240</v>
      </c>
      <c r="C36" s="161" t="s">
        <v>191</v>
      </c>
      <c r="D36" s="162">
        <v>9.4499999999999993</v>
      </c>
      <c r="E36" s="162">
        <f>+E35</f>
        <v>36.903789999999994</v>
      </c>
      <c r="F36" s="162">
        <f t="shared" si="2"/>
        <v>348.74081549999994</v>
      </c>
    </row>
    <row r="37" spans="1:6" ht="12.75">
      <c r="A37" s="160" t="s">
        <v>241</v>
      </c>
      <c r="B37" s="161" t="s">
        <v>242</v>
      </c>
      <c r="C37" s="161" t="s">
        <v>209</v>
      </c>
      <c r="D37" s="162">
        <v>3</v>
      </c>
      <c r="E37" s="162">
        <f>+'[2]24'!G65</f>
        <v>95.011828999999992</v>
      </c>
      <c r="F37" s="162">
        <f t="shared" si="2"/>
        <v>285.03548699999999</v>
      </c>
    </row>
    <row r="38" spans="1:6" ht="12.75">
      <c r="A38" s="160" t="s">
        <v>243</v>
      </c>
      <c r="B38" s="161" t="s">
        <v>244</v>
      </c>
      <c r="C38" s="161" t="s">
        <v>209</v>
      </c>
      <c r="D38" s="162">
        <v>1</v>
      </c>
      <c r="E38" s="162">
        <f>+'[2]25'!G65</f>
        <v>113.491829</v>
      </c>
      <c r="F38" s="162">
        <f t="shared" si="2"/>
        <v>113.491829</v>
      </c>
    </row>
    <row r="39" spans="1:6" ht="12.75">
      <c r="A39" s="156" t="s">
        <v>187</v>
      </c>
      <c r="B39" s="157" t="s">
        <v>245</v>
      </c>
      <c r="C39" s="158"/>
      <c r="D39" s="159"/>
      <c r="E39" s="159"/>
      <c r="F39" s="162"/>
    </row>
    <row r="40" spans="1:6" ht="12.75">
      <c r="A40" s="160" t="s">
        <v>246</v>
      </c>
      <c r="B40" s="161" t="s">
        <v>247</v>
      </c>
      <c r="C40" s="161" t="s">
        <v>248</v>
      </c>
      <c r="D40" s="162">
        <v>3</v>
      </c>
      <c r="E40" s="162">
        <v>21.01</v>
      </c>
      <c r="F40" s="162">
        <f t="shared" si="2"/>
        <v>63.03</v>
      </c>
    </row>
    <row r="41" spans="1:6" ht="12.75">
      <c r="A41" s="160" t="s">
        <v>249</v>
      </c>
      <c r="B41" s="161" t="s">
        <v>250</v>
      </c>
      <c r="C41" s="161" t="s">
        <v>248</v>
      </c>
      <c r="D41" s="162">
        <v>10</v>
      </c>
      <c r="E41" s="162">
        <v>21</v>
      </c>
      <c r="F41" s="162">
        <f t="shared" si="2"/>
        <v>210</v>
      </c>
    </row>
    <row r="42" spans="1:6" ht="12.75">
      <c r="A42" s="160" t="s">
        <v>251</v>
      </c>
      <c r="B42" s="161" t="s">
        <v>252</v>
      </c>
      <c r="C42" s="161" t="s">
        <v>233</v>
      </c>
      <c r="D42" s="162">
        <v>21</v>
      </c>
      <c r="E42" s="162">
        <v>5.37</v>
      </c>
      <c r="F42" s="162">
        <f t="shared" si="2"/>
        <v>112.77</v>
      </c>
    </row>
    <row r="43" spans="1:6" ht="12.75">
      <c r="A43" s="160" t="s">
        <v>253</v>
      </c>
      <c r="B43" s="161" t="s">
        <v>254</v>
      </c>
      <c r="C43" s="161" t="s">
        <v>233</v>
      </c>
      <c r="D43" s="162">
        <v>31</v>
      </c>
      <c r="E43" s="162">
        <v>2.98</v>
      </c>
      <c r="F43" s="162">
        <f t="shared" si="2"/>
        <v>92.38</v>
      </c>
    </row>
    <row r="44" spans="1:6" ht="12.75">
      <c r="A44" s="160" t="s">
        <v>255</v>
      </c>
      <c r="B44" s="161" t="s">
        <v>256</v>
      </c>
      <c r="C44" s="161" t="s">
        <v>233</v>
      </c>
      <c r="D44" s="162">
        <v>9.6</v>
      </c>
      <c r="E44" s="162">
        <v>4.55</v>
      </c>
      <c r="F44" s="162">
        <f t="shared" si="2"/>
        <v>43.68</v>
      </c>
    </row>
    <row r="45" spans="1:6" ht="12.75">
      <c r="A45" s="160" t="s">
        <v>257</v>
      </c>
      <c r="B45" s="161" t="s">
        <v>258</v>
      </c>
      <c r="C45" s="161" t="s">
        <v>209</v>
      </c>
      <c r="D45" s="162">
        <v>7</v>
      </c>
      <c r="E45" s="162">
        <v>2.1</v>
      </c>
      <c r="F45" s="162">
        <f t="shared" si="2"/>
        <v>14.700000000000001</v>
      </c>
    </row>
    <row r="46" spans="1:6" ht="12.75">
      <c r="A46" s="160" t="s">
        <v>259</v>
      </c>
      <c r="B46" s="161" t="s">
        <v>260</v>
      </c>
      <c r="C46" s="161" t="s">
        <v>233</v>
      </c>
      <c r="D46" s="162">
        <v>8.5</v>
      </c>
      <c r="E46" s="162">
        <v>5.15</v>
      </c>
      <c r="F46" s="162">
        <f t="shared" si="2"/>
        <v>43.775000000000006</v>
      </c>
    </row>
    <row r="47" spans="1:6" ht="12.75">
      <c r="A47" s="160" t="s">
        <v>261</v>
      </c>
      <c r="B47" s="161" t="s">
        <v>262</v>
      </c>
      <c r="C47" s="161" t="s">
        <v>209</v>
      </c>
      <c r="D47" s="162">
        <v>1</v>
      </c>
      <c r="E47" s="162">
        <v>29.28</v>
      </c>
      <c r="F47" s="162">
        <f t="shared" si="2"/>
        <v>29.28</v>
      </c>
    </row>
    <row r="48" spans="1:6" ht="12.75">
      <c r="A48" s="160" t="s">
        <v>263</v>
      </c>
      <c r="B48" s="161" t="s">
        <v>264</v>
      </c>
      <c r="C48" s="161" t="s">
        <v>233</v>
      </c>
      <c r="D48" s="162">
        <v>46.8</v>
      </c>
      <c r="E48" s="162">
        <v>12.66</v>
      </c>
      <c r="F48" s="162">
        <f t="shared" si="2"/>
        <v>592.48799999999994</v>
      </c>
    </row>
    <row r="49" spans="1:6" ht="12.75">
      <c r="A49" s="156" t="s">
        <v>187</v>
      </c>
      <c r="B49" s="157" t="s">
        <v>265</v>
      </c>
      <c r="C49" s="158"/>
      <c r="D49" s="159"/>
      <c r="E49" s="159"/>
      <c r="F49" s="162"/>
    </row>
    <row r="50" spans="1:6" ht="12.75">
      <c r="A50" s="160" t="s">
        <v>266</v>
      </c>
      <c r="B50" s="161" t="s">
        <v>267</v>
      </c>
      <c r="C50" s="161" t="s">
        <v>268</v>
      </c>
      <c r="D50" s="162">
        <v>8</v>
      </c>
      <c r="E50" s="162">
        <v>16.03</v>
      </c>
      <c r="F50" s="162">
        <f t="shared" si="2"/>
        <v>128.24</v>
      </c>
    </row>
    <row r="51" spans="1:6" ht="12.75">
      <c r="A51" s="160" t="s">
        <v>269</v>
      </c>
      <c r="B51" s="161" t="s">
        <v>270</v>
      </c>
      <c r="C51" s="161" t="s">
        <v>233</v>
      </c>
      <c r="D51" s="162">
        <v>35.4</v>
      </c>
      <c r="E51" s="162">
        <v>7.67</v>
      </c>
      <c r="F51" s="162">
        <f t="shared" si="2"/>
        <v>271.51799999999997</v>
      </c>
    </row>
    <row r="52" spans="1:6" ht="12.75">
      <c r="A52" s="160" t="s">
        <v>271</v>
      </c>
      <c r="B52" s="161" t="s">
        <v>272</v>
      </c>
      <c r="C52" s="161" t="s">
        <v>209</v>
      </c>
      <c r="D52" s="162">
        <v>6</v>
      </c>
      <c r="E52" s="162">
        <v>7.4</v>
      </c>
      <c r="F52" s="162">
        <f t="shared" si="2"/>
        <v>44.400000000000006</v>
      </c>
    </row>
    <row r="53" spans="1:6" ht="12.75">
      <c r="A53" s="160" t="s">
        <v>273</v>
      </c>
      <c r="B53" s="161" t="s">
        <v>274</v>
      </c>
      <c r="C53" s="161" t="s">
        <v>209</v>
      </c>
      <c r="D53" s="162">
        <v>2</v>
      </c>
      <c r="E53" s="162">
        <v>49.65</v>
      </c>
      <c r="F53" s="162">
        <f t="shared" si="2"/>
        <v>99.3</v>
      </c>
    </row>
    <row r="54" spans="1:6" ht="12.75">
      <c r="A54" s="160" t="s">
        <v>275</v>
      </c>
      <c r="B54" s="161" t="s">
        <v>276</v>
      </c>
      <c r="C54" s="161" t="s">
        <v>209</v>
      </c>
      <c r="D54" s="162">
        <v>2</v>
      </c>
      <c r="E54" s="162">
        <v>7.63</v>
      </c>
      <c r="F54" s="162">
        <f t="shared" si="2"/>
        <v>15.26</v>
      </c>
    </row>
    <row r="55" spans="1:6" ht="12.75">
      <c r="A55" s="156" t="s">
        <v>187</v>
      </c>
      <c r="B55" s="157" t="s">
        <v>277</v>
      </c>
      <c r="C55" s="158"/>
      <c r="D55" s="159"/>
      <c r="E55" s="159"/>
      <c r="F55" s="162"/>
    </row>
    <row r="56" spans="1:6" ht="12.75">
      <c r="A56" s="160" t="s">
        <v>278</v>
      </c>
      <c r="B56" s="161" t="s">
        <v>279</v>
      </c>
      <c r="C56" s="161" t="s">
        <v>209</v>
      </c>
      <c r="D56" s="162">
        <v>3</v>
      </c>
      <c r="E56" s="162">
        <v>78.13</v>
      </c>
      <c r="F56" s="162">
        <f t="shared" si="2"/>
        <v>234.39</v>
      </c>
    </row>
    <row r="57" spans="1:6" ht="12.75">
      <c r="A57" s="160" t="s">
        <v>280</v>
      </c>
      <c r="B57" s="161" t="s">
        <v>281</v>
      </c>
      <c r="C57" s="161" t="s">
        <v>209</v>
      </c>
      <c r="D57" s="162">
        <v>3</v>
      </c>
      <c r="E57" s="162">
        <v>37.74</v>
      </c>
      <c r="F57" s="162">
        <f t="shared" si="2"/>
        <v>113.22</v>
      </c>
    </row>
    <row r="58" spans="1:6" ht="12.75">
      <c r="A58" s="160" t="s">
        <v>282</v>
      </c>
      <c r="B58" s="161" t="s">
        <v>283</v>
      </c>
      <c r="C58" s="161" t="s">
        <v>209</v>
      </c>
      <c r="D58" s="162">
        <v>3</v>
      </c>
      <c r="E58" s="162">
        <v>11.2</v>
      </c>
      <c r="F58" s="162">
        <f t="shared" si="2"/>
        <v>33.599999999999994</v>
      </c>
    </row>
    <row r="59" spans="1:6" ht="12.75">
      <c r="A59" s="156" t="s">
        <v>187</v>
      </c>
      <c r="B59" s="157" t="s">
        <v>284</v>
      </c>
      <c r="C59" s="158"/>
      <c r="D59" s="159"/>
      <c r="E59" s="159"/>
      <c r="F59" s="162"/>
    </row>
    <row r="60" spans="1:6" ht="12.75">
      <c r="A60" s="160" t="s">
        <v>285</v>
      </c>
      <c r="B60" s="161" t="s">
        <v>286</v>
      </c>
      <c r="C60" s="161" t="s">
        <v>268</v>
      </c>
      <c r="D60" s="162">
        <v>20</v>
      </c>
      <c r="E60" s="162">
        <v>18.239999999999998</v>
      </c>
      <c r="F60" s="162">
        <f t="shared" si="2"/>
        <v>364.79999999999995</v>
      </c>
    </row>
    <row r="61" spans="1:6" ht="12.75">
      <c r="A61" s="160" t="s">
        <v>287</v>
      </c>
      <c r="B61" s="161" t="s">
        <v>288</v>
      </c>
      <c r="C61" s="161" t="s">
        <v>268</v>
      </c>
      <c r="D61" s="162">
        <v>10</v>
      </c>
      <c r="E61" s="162">
        <v>19.88</v>
      </c>
      <c r="F61" s="162">
        <f t="shared" si="2"/>
        <v>198.79999999999998</v>
      </c>
    </row>
    <row r="62" spans="1:6" ht="12.75">
      <c r="A62" s="160" t="s">
        <v>289</v>
      </c>
      <c r="B62" s="161" t="s">
        <v>290</v>
      </c>
      <c r="C62" s="161" t="s">
        <v>209</v>
      </c>
      <c r="D62" s="162">
        <v>2</v>
      </c>
      <c r="E62" s="162">
        <v>36.43</v>
      </c>
      <c r="F62" s="162">
        <f t="shared" si="2"/>
        <v>72.86</v>
      </c>
    </row>
    <row r="63" spans="1:6" ht="12.75">
      <c r="A63" s="161"/>
      <c r="B63" s="161"/>
      <c r="C63" s="166" t="s">
        <v>291</v>
      </c>
      <c r="D63" s="166"/>
      <c r="E63" s="166"/>
      <c r="F63" s="167">
        <f>SUM(F11:F62)</f>
        <v>15886.159894982799</v>
      </c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5" customHeight="1">
      <c r="A66" s="702" t="s">
        <v>292</v>
      </c>
      <c r="B66" s="702"/>
      <c r="C66" s="702"/>
      <c r="D66" s="702"/>
      <c r="E66" s="702"/>
      <c r="F66" s="702"/>
    </row>
    <row r="67" spans="1:6">
      <c r="A67" s="151" t="s">
        <v>293</v>
      </c>
    </row>
    <row r="69" spans="1:6">
      <c r="A69" s="168"/>
    </row>
  </sheetData>
  <mergeCells count="3">
    <mergeCell ref="A1:F1"/>
    <mergeCell ref="A7:F7"/>
    <mergeCell ref="A66:F6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"/>
  <dimension ref="B2:F18"/>
  <sheetViews>
    <sheetView workbookViewId="0">
      <selection activeCell="B18" sqref="B18"/>
    </sheetView>
  </sheetViews>
  <sheetFormatPr baseColWidth="10" defaultRowHeight="12.75"/>
  <cols>
    <col min="2" max="2" width="19.7109375" customWidth="1"/>
    <col min="3" max="3" width="17.85546875" customWidth="1"/>
    <col min="4" max="4" width="15.85546875" customWidth="1"/>
    <col min="5" max="5" width="13.5703125" customWidth="1"/>
  </cols>
  <sheetData>
    <row r="2" spans="2:6" ht="13.5" thickBot="1"/>
    <row r="3" spans="2:6" ht="32.25" thickBot="1">
      <c r="B3" s="4" t="s">
        <v>15</v>
      </c>
      <c r="C3" s="5" t="s">
        <v>16</v>
      </c>
      <c r="D3" s="5" t="s">
        <v>17</v>
      </c>
      <c r="E3" s="5" t="s">
        <v>18</v>
      </c>
      <c r="F3" s="5">
        <v>0</v>
      </c>
    </row>
    <row r="4" spans="2:6" ht="51.75" thickBot="1">
      <c r="B4" s="32" t="s">
        <v>62</v>
      </c>
      <c r="C4" s="51">
        <v>1</v>
      </c>
      <c r="D4" s="51">
        <v>300</v>
      </c>
      <c r="E4" s="51">
        <f>+D4*12%</f>
        <v>36</v>
      </c>
      <c r="F4" s="51">
        <f>+D4+E4</f>
        <v>336</v>
      </c>
    </row>
    <row r="5" spans="2:6" ht="27" customHeight="1">
      <c r="B5" s="707" t="s">
        <v>61</v>
      </c>
      <c r="C5" s="707">
        <v>1</v>
      </c>
      <c r="D5" s="707">
        <v>60</v>
      </c>
      <c r="E5" s="707">
        <f>+D5*12%</f>
        <v>7.1999999999999993</v>
      </c>
      <c r="F5" s="707">
        <f>+D5+E5</f>
        <v>67.2</v>
      </c>
    </row>
    <row r="6" spans="2:6" ht="13.5" thickBot="1">
      <c r="B6" s="708"/>
      <c r="C6" s="708"/>
      <c r="D6" s="708"/>
      <c r="E6" s="708"/>
      <c r="F6" s="708"/>
    </row>
    <row r="7" spans="2:6" ht="16.5" customHeight="1">
      <c r="B7" s="703" t="s">
        <v>20</v>
      </c>
      <c r="C7" s="709"/>
      <c r="D7" s="710"/>
      <c r="E7" s="711"/>
      <c r="F7" s="703">
        <f>SUM(F4:F6)</f>
        <v>403.2</v>
      </c>
    </row>
    <row r="8" spans="2:6" ht="13.5" customHeight="1" thickBot="1">
      <c r="B8" s="704"/>
      <c r="C8" s="712"/>
      <c r="D8" s="713"/>
      <c r="E8" s="714"/>
      <c r="F8" s="704"/>
    </row>
    <row r="9" spans="2:6" ht="16.5" customHeight="1">
      <c r="B9" s="703" t="s">
        <v>21</v>
      </c>
      <c r="C9" s="712"/>
      <c r="D9" s="713"/>
      <c r="E9" s="714"/>
      <c r="F9" s="705">
        <f>+F7*3%</f>
        <v>12.096</v>
      </c>
    </row>
    <row r="10" spans="2:6" ht="13.5" customHeight="1" thickBot="1">
      <c r="B10" s="704"/>
      <c r="C10" s="712"/>
      <c r="D10" s="713"/>
      <c r="E10" s="714"/>
      <c r="F10" s="706"/>
    </row>
    <row r="11" spans="2:6" ht="15.75" thickBot="1">
      <c r="B11" s="21" t="s">
        <v>1</v>
      </c>
      <c r="C11" s="715"/>
      <c r="D11" s="716"/>
      <c r="E11" s="717"/>
      <c r="F11" s="50">
        <f>+F7+F9</f>
        <v>415.29599999999999</v>
      </c>
    </row>
    <row r="18" spans="2:2">
      <c r="B18" s="37">
        <f>+F11+'EQ. OFIC'!G41+'MUEB. Y ENSER'!G11</f>
        <v>1605.2959999999998</v>
      </c>
    </row>
  </sheetData>
  <mergeCells count="10">
    <mergeCell ref="B9:B10"/>
    <mergeCell ref="F9:F10"/>
    <mergeCell ref="B5:B6"/>
    <mergeCell ref="C5:C6"/>
    <mergeCell ref="D5:D6"/>
    <mergeCell ref="E5:E6"/>
    <mergeCell ref="F5:F6"/>
    <mergeCell ref="B7:B8"/>
    <mergeCell ref="F7:F8"/>
    <mergeCell ref="C7:E11"/>
  </mergeCells>
  <phoneticPr fontId="6" type="noConversion"/>
  <pageMargins left="0.75" right="0.75" top="1" bottom="1" header="0" footer="0"/>
  <pageSetup orientation="portrait" horizontalDpi="4294967294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"/>
  <dimension ref="B35:G41"/>
  <sheetViews>
    <sheetView workbookViewId="0">
      <selection activeCell="D26" sqref="D26"/>
    </sheetView>
  </sheetViews>
  <sheetFormatPr baseColWidth="10" defaultRowHeight="12.75"/>
  <cols>
    <col min="2" max="2" width="14" customWidth="1"/>
    <col min="3" max="3" width="13.42578125" customWidth="1"/>
    <col min="5" max="5" width="13.5703125" customWidth="1"/>
  </cols>
  <sheetData>
    <row r="35" spans="2:7" ht="13.5" thickBot="1"/>
    <row r="36" spans="2:7" ht="13.5" thickBot="1">
      <c r="B36" s="14" t="s">
        <v>22</v>
      </c>
      <c r="C36" s="15" t="s">
        <v>23</v>
      </c>
      <c r="D36" s="15" t="s">
        <v>24</v>
      </c>
      <c r="E36" s="15" t="s">
        <v>25</v>
      </c>
      <c r="F36" s="15" t="s">
        <v>18</v>
      </c>
      <c r="G36" s="16" t="s">
        <v>2</v>
      </c>
    </row>
    <row r="37" spans="2:7">
      <c r="B37" s="11" t="s">
        <v>26</v>
      </c>
      <c r="C37" s="12">
        <v>1</v>
      </c>
      <c r="D37" s="12">
        <v>230</v>
      </c>
      <c r="E37" s="12">
        <f>+C37*D37</f>
        <v>230</v>
      </c>
      <c r="F37" s="12">
        <f>+E37*0.12</f>
        <v>27.599999999999998</v>
      </c>
      <c r="G37" s="13">
        <f>+E37+F37</f>
        <v>257.60000000000002</v>
      </c>
    </row>
    <row r="38" spans="2:7">
      <c r="B38" s="6" t="s">
        <v>27</v>
      </c>
      <c r="C38" s="1">
        <v>1</v>
      </c>
      <c r="D38" s="1">
        <v>20</v>
      </c>
      <c r="E38" s="12">
        <f>+C38*D38</f>
        <v>20</v>
      </c>
      <c r="F38" s="1">
        <f>+E38*0.12</f>
        <v>2.4</v>
      </c>
      <c r="G38" s="7">
        <f>+E38+F38</f>
        <v>22.4</v>
      </c>
    </row>
    <row r="39" spans="2:7">
      <c r="B39" s="6" t="s">
        <v>28</v>
      </c>
      <c r="C39" s="1"/>
      <c r="D39" s="1"/>
      <c r="E39" s="1">
        <f>SUM(E37:E38)</f>
        <v>250</v>
      </c>
      <c r="F39" s="1">
        <f>SUM(F37:F38)</f>
        <v>29.999999999999996</v>
      </c>
      <c r="G39" s="7">
        <f>SUM(G37:G38)</f>
        <v>280</v>
      </c>
    </row>
    <row r="40" spans="2:7">
      <c r="B40" s="6" t="s">
        <v>21</v>
      </c>
      <c r="C40" s="1"/>
      <c r="D40" s="1"/>
      <c r="E40" s="1"/>
      <c r="F40" s="1"/>
      <c r="G40" s="7">
        <f>+G39*0.03</f>
        <v>8.4</v>
      </c>
    </row>
    <row r="41" spans="2:7" ht="13.5" thickBot="1">
      <c r="B41" s="8" t="s">
        <v>2</v>
      </c>
      <c r="C41" s="9"/>
      <c r="D41" s="9"/>
      <c r="E41" s="9"/>
      <c r="F41" s="9"/>
      <c r="G41" s="10">
        <f>+G39+G40</f>
        <v>288.39999999999998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"/>
  <dimension ref="B2:G12"/>
  <sheetViews>
    <sheetView workbookViewId="0">
      <selection activeCell="H9" sqref="H9"/>
    </sheetView>
  </sheetViews>
  <sheetFormatPr baseColWidth="10" defaultRowHeight="12.75"/>
  <cols>
    <col min="1" max="1" width="1.7109375" customWidth="1"/>
    <col min="2" max="2" width="17.42578125" customWidth="1"/>
    <col min="4" max="4" width="15.42578125" customWidth="1"/>
  </cols>
  <sheetData>
    <row r="2" spans="2:7" ht="13.5" thickBot="1"/>
    <row r="3" spans="2:7">
      <c r="B3" s="726" t="s">
        <v>29</v>
      </c>
      <c r="C3" s="728" t="s">
        <v>23</v>
      </c>
      <c r="D3" s="728" t="s">
        <v>30</v>
      </c>
      <c r="E3" s="728" t="s">
        <v>28</v>
      </c>
      <c r="F3" s="728" t="s">
        <v>18</v>
      </c>
      <c r="G3" s="718" t="s">
        <v>2</v>
      </c>
    </row>
    <row r="4" spans="2:7" ht="13.5" thickBot="1">
      <c r="B4" s="727"/>
      <c r="C4" s="729"/>
      <c r="D4" s="729"/>
      <c r="E4" s="729"/>
      <c r="F4" s="729"/>
      <c r="G4" s="719"/>
    </row>
    <row r="5" spans="2:7">
      <c r="B5" s="11" t="s">
        <v>31</v>
      </c>
      <c r="C5" s="528">
        <v>1</v>
      </c>
      <c r="D5" s="528">
        <v>150</v>
      </c>
      <c r="E5" s="528">
        <f>+D5*C5</f>
        <v>150</v>
      </c>
      <c r="F5" s="528">
        <f t="shared" ref="F5:F10" si="0">+E5*0.12</f>
        <v>18</v>
      </c>
      <c r="G5" s="529">
        <f t="shared" ref="G5:G10" si="1">+E5+F5</f>
        <v>168</v>
      </c>
    </row>
    <row r="6" spans="2:7">
      <c r="B6" s="6" t="s">
        <v>32</v>
      </c>
      <c r="C6" s="371">
        <v>12</v>
      </c>
      <c r="D6" s="371">
        <v>10</v>
      </c>
      <c r="E6" s="371">
        <f>+D6*C6</f>
        <v>120</v>
      </c>
      <c r="F6" s="371">
        <f t="shared" si="0"/>
        <v>14.399999999999999</v>
      </c>
      <c r="G6" s="530">
        <f t="shared" si="1"/>
        <v>134.4</v>
      </c>
    </row>
    <row r="7" spans="2:7">
      <c r="B7" s="6" t="s">
        <v>33</v>
      </c>
      <c r="C7" s="371">
        <v>1</v>
      </c>
      <c r="D7" s="371" t="s">
        <v>85</v>
      </c>
      <c r="E7" s="371">
        <v>295</v>
      </c>
      <c r="F7" s="371">
        <v>35.4</v>
      </c>
      <c r="G7" s="530">
        <f t="shared" si="1"/>
        <v>330.4</v>
      </c>
    </row>
    <row r="8" spans="2:7">
      <c r="B8" s="6" t="s">
        <v>34</v>
      </c>
      <c r="C8" s="371">
        <v>1</v>
      </c>
      <c r="D8" s="371" t="s">
        <v>85</v>
      </c>
      <c r="E8" s="371">
        <v>160</v>
      </c>
      <c r="F8" s="371">
        <v>19.2</v>
      </c>
      <c r="G8" s="530">
        <f t="shared" si="1"/>
        <v>179.2</v>
      </c>
    </row>
    <row r="9" spans="2:7">
      <c r="B9" s="6" t="s">
        <v>35</v>
      </c>
      <c r="C9" s="371">
        <v>1</v>
      </c>
      <c r="D9" s="371" t="s">
        <v>85</v>
      </c>
      <c r="E9" s="371">
        <v>35</v>
      </c>
      <c r="F9" s="371">
        <f t="shared" si="0"/>
        <v>4.2</v>
      </c>
      <c r="G9" s="530">
        <f t="shared" si="1"/>
        <v>39.200000000000003</v>
      </c>
    </row>
    <row r="10" spans="2:7" ht="13.5" thickBot="1">
      <c r="B10" s="17" t="s">
        <v>36</v>
      </c>
      <c r="C10" s="531">
        <v>1</v>
      </c>
      <c r="D10" s="371" t="s">
        <v>85</v>
      </c>
      <c r="E10" s="531">
        <v>45</v>
      </c>
      <c r="F10" s="531">
        <f t="shared" si="0"/>
        <v>5.3999999999999995</v>
      </c>
      <c r="G10" s="532">
        <f t="shared" si="1"/>
        <v>50.4</v>
      </c>
    </row>
    <row r="11" spans="2:7">
      <c r="B11" s="723" t="s">
        <v>2</v>
      </c>
      <c r="C11" s="724"/>
      <c r="D11" s="724"/>
      <c r="E11" s="725"/>
      <c r="F11" s="533">
        <f>SUM(F5:F10)</f>
        <v>96.600000000000009</v>
      </c>
      <c r="G11" s="534">
        <f>SUM(G5:G10)</f>
        <v>901.6</v>
      </c>
    </row>
    <row r="12" spans="2:7">
      <c r="B12" s="720" t="s">
        <v>86</v>
      </c>
      <c r="C12" s="721"/>
      <c r="D12" s="721"/>
      <c r="E12" s="721"/>
      <c r="F12" s="722"/>
      <c r="G12" s="535">
        <f>+G5+G6</f>
        <v>302.39999999999998</v>
      </c>
    </row>
  </sheetData>
  <mergeCells count="8">
    <mergeCell ref="G3:G4"/>
    <mergeCell ref="B12:F12"/>
    <mergeCell ref="B11:E11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"/>
  <dimension ref="A30:F38"/>
  <sheetViews>
    <sheetView topLeftCell="A22" workbookViewId="0">
      <selection activeCell="E25" sqref="E25"/>
    </sheetView>
  </sheetViews>
  <sheetFormatPr baseColWidth="10" defaultRowHeight="12.75"/>
  <cols>
    <col min="2" max="2" width="12.5703125" customWidth="1"/>
  </cols>
  <sheetData>
    <row r="30" spans="1:6" ht="13.5" thickBot="1"/>
    <row r="31" spans="1:6" ht="32.25" thickBot="1">
      <c r="A31" s="34" t="s">
        <v>15</v>
      </c>
      <c r="B31" s="33" t="s">
        <v>16</v>
      </c>
      <c r="C31" s="35" t="s">
        <v>17</v>
      </c>
      <c r="D31" s="33" t="s">
        <v>57</v>
      </c>
      <c r="E31" s="33" t="s">
        <v>18</v>
      </c>
      <c r="F31" s="5" t="s">
        <v>19</v>
      </c>
    </row>
    <row r="32" spans="1:6">
      <c r="A32" s="707" t="s">
        <v>56</v>
      </c>
      <c r="B32" s="707">
        <v>2</v>
      </c>
      <c r="C32" s="707">
        <v>466</v>
      </c>
      <c r="D32" s="707">
        <f>+C32*B32</f>
        <v>932</v>
      </c>
      <c r="E32" s="707">
        <f>+D32*12%</f>
        <v>111.83999999999999</v>
      </c>
      <c r="F32" s="707">
        <f>+D32+E32</f>
        <v>1043.8399999999999</v>
      </c>
    </row>
    <row r="33" spans="1:6" ht="13.5" thickBot="1">
      <c r="A33" s="708"/>
      <c r="B33" s="708"/>
      <c r="C33" s="708"/>
      <c r="D33" s="708"/>
      <c r="E33" s="708"/>
      <c r="F33" s="708"/>
    </row>
    <row r="34" spans="1:6">
      <c r="A34" s="707" t="s">
        <v>20</v>
      </c>
      <c r="B34" s="709"/>
      <c r="C34" s="710"/>
      <c r="D34" s="710"/>
      <c r="E34" s="711"/>
      <c r="F34" s="703">
        <f>SUM(F32:F33)</f>
        <v>1043.8399999999999</v>
      </c>
    </row>
    <row r="35" spans="1:6" ht="13.5" thickBot="1">
      <c r="A35" s="708"/>
      <c r="B35" s="712"/>
      <c r="C35" s="713"/>
      <c r="D35" s="713"/>
      <c r="E35" s="714"/>
      <c r="F35" s="704"/>
    </row>
    <row r="36" spans="1:6">
      <c r="A36" s="707" t="s">
        <v>21</v>
      </c>
      <c r="B36" s="712"/>
      <c r="C36" s="713"/>
      <c r="D36" s="713"/>
      <c r="E36" s="714"/>
      <c r="F36" s="703">
        <f>+F34*3%</f>
        <v>31.315199999999997</v>
      </c>
    </row>
    <row r="37" spans="1:6" ht="13.5" thickBot="1">
      <c r="A37" s="708"/>
      <c r="B37" s="712"/>
      <c r="C37" s="713"/>
      <c r="D37" s="713"/>
      <c r="E37" s="714"/>
      <c r="F37" s="704"/>
    </row>
    <row r="38" spans="1:6" ht="15.75" thickBot="1">
      <c r="A38" s="21" t="s">
        <v>1</v>
      </c>
      <c r="B38" s="715"/>
      <c r="C38" s="716"/>
      <c r="D38" s="716"/>
      <c r="E38" s="717"/>
      <c r="F38" s="3">
        <f>+F34+F36</f>
        <v>1075.1551999999999</v>
      </c>
    </row>
  </sheetData>
  <mergeCells count="11">
    <mergeCell ref="C32:C33"/>
    <mergeCell ref="E32:E33"/>
    <mergeCell ref="F32:F33"/>
    <mergeCell ref="A34:A35"/>
    <mergeCell ref="B34:E38"/>
    <mergeCell ref="F34:F35"/>
    <mergeCell ref="A36:A37"/>
    <mergeCell ref="F36:F37"/>
    <mergeCell ref="D32:D33"/>
    <mergeCell ref="A32:A33"/>
    <mergeCell ref="B32:B33"/>
  </mergeCells>
  <pageMargins left="0.7" right="0.7" top="0.75" bottom="0.75" header="0.3" footer="0.3"/>
  <pageSetup paperSize="9"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/>
  <dimension ref="A4:D30"/>
  <sheetViews>
    <sheetView workbookViewId="0">
      <selection activeCell="D8" sqref="D8"/>
    </sheetView>
  </sheetViews>
  <sheetFormatPr baseColWidth="10" defaultRowHeight="12.75"/>
  <cols>
    <col min="1" max="1" width="18.5703125" customWidth="1"/>
    <col min="2" max="2" width="18.140625" customWidth="1"/>
    <col min="3" max="3" width="29" customWidth="1"/>
    <col min="4" max="4" width="20.140625" customWidth="1"/>
  </cols>
  <sheetData>
    <row r="4" spans="1:4" ht="20.25">
      <c r="A4" s="675" t="s">
        <v>64</v>
      </c>
      <c r="B4" s="675"/>
      <c r="C4" s="675"/>
      <c r="D4" s="675"/>
    </row>
    <row r="6" spans="1:4">
      <c r="A6" s="53" t="s">
        <v>68</v>
      </c>
      <c r="B6" s="53" t="s">
        <v>65</v>
      </c>
      <c r="C6" s="54" t="s">
        <v>71</v>
      </c>
      <c r="D6" s="55" t="s">
        <v>66</v>
      </c>
    </row>
    <row r="7" spans="1:4">
      <c r="A7" s="56" t="s">
        <v>67</v>
      </c>
      <c r="B7" s="52">
        <f>(14381*2.66%)*9+(14381)</f>
        <v>17823.811399999999</v>
      </c>
      <c r="C7" s="1">
        <v>4</v>
      </c>
      <c r="D7" s="57">
        <f>+B7/C7</f>
        <v>4455.9528499999997</v>
      </c>
    </row>
    <row r="8" spans="1:4">
      <c r="A8" s="56" t="s">
        <v>69</v>
      </c>
      <c r="B8" s="52">
        <f>(116523*2.66%)*9+(116523)</f>
        <v>144418.60620000001</v>
      </c>
      <c r="C8" s="1">
        <v>4</v>
      </c>
      <c r="D8" s="57">
        <f>+B8/C8</f>
        <v>36104.651550000002</v>
      </c>
    </row>
    <row r="9" spans="1:4">
      <c r="A9" s="61"/>
      <c r="B9" s="69">
        <f>SUBTOTAL(109,B7:B8)</f>
        <v>162242.41760000002</v>
      </c>
      <c r="C9" s="58" t="s">
        <v>70</v>
      </c>
      <c r="D9" s="59">
        <f>SUM(D7:D8)</f>
        <v>40560.604400000004</v>
      </c>
    </row>
    <row r="10" spans="1:4">
      <c r="A10" s="62" t="s">
        <v>72</v>
      </c>
      <c r="B10" s="62"/>
      <c r="C10" s="62"/>
    </row>
    <row r="11" spans="1:4">
      <c r="A11" s="62" t="s">
        <v>73</v>
      </c>
      <c r="B11" s="62"/>
      <c r="C11" s="62"/>
    </row>
    <row r="19" spans="1:4" ht="20.25">
      <c r="A19" s="675" t="s">
        <v>74</v>
      </c>
      <c r="B19" s="675"/>
      <c r="C19" s="675"/>
      <c r="D19" s="675"/>
    </row>
    <row r="20" spans="1:4">
      <c r="A20" s="730" t="s">
        <v>75</v>
      </c>
      <c r="B20" s="730"/>
      <c r="C20" s="730"/>
      <c r="D20" s="730"/>
    </row>
    <row r="21" spans="1:4" ht="46.5" customHeight="1">
      <c r="A21" s="63" t="s">
        <v>76</v>
      </c>
      <c r="B21" s="63" t="s">
        <v>166</v>
      </c>
      <c r="C21" s="64" t="s">
        <v>167</v>
      </c>
      <c r="D21" s="65" t="s">
        <v>168</v>
      </c>
    </row>
    <row r="22" spans="1:4">
      <c r="A22" s="56" t="s">
        <v>77</v>
      </c>
      <c r="B22" s="1">
        <v>551.08000000000004</v>
      </c>
      <c r="C22" s="1">
        <v>3.94</v>
      </c>
      <c r="D22" s="66">
        <v>195.36</v>
      </c>
    </row>
    <row r="23" spans="1:4">
      <c r="A23" s="67"/>
      <c r="B23" s="68"/>
      <c r="C23" s="68"/>
      <c r="D23" s="59"/>
    </row>
    <row r="24" spans="1:4">
      <c r="A24" s="62" t="s">
        <v>79</v>
      </c>
      <c r="B24" s="62"/>
      <c r="C24" s="62"/>
    </row>
    <row r="25" spans="1:4">
      <c r="A25" s="62" t="s">
        <v>73</v>
      </c>
    </row>
    <row r="30" spans="1:4">
      <c r="A30" s="28" t="s">
        <v>78</v>
      </c>
    </row>
  </sheetData>
  <mergeCells count="3">
    <mergeCell ref="A4:D4"/>
    <mergeCell ref="A19:D19"/>
    <mergeCell ref="A20:D20"/>
  </mergeCells>
  <pageMargins left="0.7" right="0.7" top="0.75" bottom="0.75" header="0.3" footer="0.3"/>
  <pageSetup paperSize="9" orientation="portrait" horizontalDpi="4294967294" verticalDpi="0" r:id="rId1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"/>
  <dimension ref="A3:L26"/>
  <sheetViews>
    <sheetView workbookViewId="0">
      <selection activeCell="D16" sqref="D16"/>
    </sheetView>
  </sheetViews>
  <sheetFormatPr baseColWidth="10" defaultRowHeight="12.75"/>
  <cols>
    <col min="2" max="2" width="12.42578125" customWidth="1"/>
    <col min="4" max="4" width="25.7109375" customWidth="1"/>
    <col min="5" max="5" width="12.5703125" bestFit="1" customWidth="1"/>
    <col min="10" max="10" width="23.85546875" bestFit="1" customWidth="1"/>
  </cols>
  <sheetData>
    <row r="3" spans="1:11" ht="18">
      <c r="A3" s="733" t="s">
        <v>80</v>
      </c>
      <c r="B3" s="733"/>
      <c r="C3" s="733"/>
      <c r="D3" s="733"/>
      <c r="E3" s="733"/>
    </row>
    <row r="5" spans="1:11">
      <c r="A5" s="70" t="s">
        <v>81</v>
      </c>
      <c r="B5" s="71" t="s">
        <v>82</v>
      </c>
      <c r="C5" s="71" t="s">
        <v>83</v>
      </c>
      <c r="D5" s="72" t="s">
        <v>84</v>
      </c>
      <c r="E5" s="73" t="s">
        <v>57</v>
      </c>
      <c r="G5" s="1" t="s">
        <v>81</v>
      </c>
      <c r="H5" s="1" t="s">
        <v>82</v>
      </c>
      <c r="I5" s="1" t="s">
        <v>83</v>
      </c>
      <c r="J5" s="1" t="s">
        <v>84</v>
      </c>
      <c r="K5" s="1" t="s">
        <v>57</v>
      </c>
    </row>
    <row r="6" spans="1:11">
      <c r="A6" s="60">
        <v>2009</v>
      </c>
      <c r="B6" s="2">
        <v>259960</v>
      </c>
      <c r="C6" s="74">
        <v>2.6599999999999999E-2</v>
      </c>
      <c r="D6" s="536">
        <f>+Tabla3[[#This Row],[DEMANDA]]*Tabla3[[#This Row],[T. C .P]]</f>
        <v>6914.9359999999997</v>
      </c>
      <c r="E6" s="537">
        <f t="shared" ref="E6:E11" si="0">B6+D6</f>
        <v>266874.93599999999</v>
      </c>
      <c r="G6" s="1">
        <v>2010</v>
      </c>
      <c r="H6" s="2">
        <v>1969</v>
      </c>
      <c r="I6" s="74">
        <v>1.95E-2</v>
      </c>
      <c r="J6" s="2">
        <f>+H6*I6</f>
        <v>38.395499999999998</v>
      </c>
      <c r="K6" s="2">
        <f>+H6+J6</f>
        <v>2007.3955000000001</v>
      </c>
    </row>
    <row r="7" spans="1:11">
      <c r="A7" s="60">
        <v>2010</v>
      </c>
      <c r="B7" s="2">
        <f t="shared" ref="B7:B12" si="1">+E6</f>
        <v>266874.93599999999</v>
      </c>
      <c r="C7" s="268">
        <v>1.95E-2</v>
      </c>
      <c r="D7" s="536">
        <f>+Tabla3[[#This Row],[DEMANDA]]*Tabla3[[#This Row],[T. C .P]]</f>
        <v>5204.0612519999995</v>
      </c>
      <c r="E7" s="537">
        <f t="shared" si="0"/>
        <v>272078.99725199997</v>
      </c>
      <c r="G7" s="1">
        <v>2011</v>
      </c>
      <c r="H7" s="2">
        <f>+K6</f>
        <v>2007.3955000000001</v>
      </c>
      <c r="I7" s="74">
        <v>1.95E-2</v>
      </c>
      <c r="J7" s="2">
        <f t="shared" ref="J7:J11" si="2">+H7*I7</f>
        <v>39.144212250000002</v>
      </c>
      <c r="K7" s="2">
        <f t="shared" ref="K7:K11" si="3">+H7+J7</f>
        <v>2046.5397122500001</v>
      </c>
    </row>
    <row r="8" spans="1:11">
      <c r="A8" s="60">
        <v>2011</v>
      </c>
      <c r="B8" s="2">
        <f>+E7</f>
        <v>272078.99725199997</v>
      </c>
      <c r="C8" s="268">
        <v>1.95E-2</v>
      </c>
      <c r="D8" s="536">
        <f>+Tabla3[[#This Row],[DEMANDA]]*Tabla3[[#This Row],[T. C .P]]</f>
        <v>5305.5404464139992</v>
      </c>
      <c r="E8" s="537">
        <f t="shared" si="0"/>
        <v>277384.53769841394</v>
      </c>
      <c r="G8" s="1">
        <v>2012</v>
      </c>
      <c r="H8" s="2">
        <f>+K7</f>
        <v>2046.5397122500001</v>
      </c>
      <c r="I8" s="74">
        <v>1.95E-2</v>
      </c>
      <c r="J8" s="2">
        <f t="shared" si="2"/>
        <v>39.907524388875004</v>
      </c>
      <c r="K8" s="2">
        <f t="shared" si="3"/>
        <v>2086.447236638875</v>
      </c>
    </row>
    <row r="9" spans="1:11">
      <c r="A9" s="60">
        <v>2012</v>
      </c>
      <c r="B9" s="2">
        <f t="shared" si="1"/>
        <v>277384.53769841394</v>
      </c>
      <c r="C9" s="268">
        <v>1.95E-2</v>
      </c>
      <c r="D9" s="536">
        <f>+Tabla3[[#This Row],[DEMANDA]]*Tabla3[[#This Row],[T. C .P]]</f>
        <v>5408.998485119072</v>
      </c>
      <c r="E9" s="537">
        <f t="shared" si="0"/>
        <v>282793.53618353303</v>
      </c>
      <c r="G9" s="1">
        <v>2013</v>
      </c>
      <c r="H9" s="2">
        <f>+K8</f>
        <v>2086.447236638875</v>
      </c>
      <c r="I9" s="74">
        <v>1.95E-2</v>
      </c>
      <c r="J9" s="2">
        <f t="shared" si="2"/>
        <v>40.685721114458062</v>
      </c>
      <c r="K9" s="2">
        <f t="shared" si="3"/>
        <v>2127.1329577533329</v>
      </c>
    </row>
    <row r="10" spans="1:11">
      <c r="A10" s="60">
        <v>2013</v>
      </c>
      <c r="B10" s="2">
        <f t="shared" si="1"/>
        <v>282793.53618353303</v>
      </c>
      <c r="C10" s="268">
        <v>1.95E-2</v>
      </c>
      <c r="D10" s="536">
        <f>+Tabla3[[#This Row],[DEMANDA]]*Tabla3[[#This Row],[T. C .P]]</f>
        <v>5514.4739555788938</v>
      </c>
      <c r="E10" s="537">
        <f t="shared" si="0"/>
        <v>288308.0101391119</v>
      </c>
      <c r="G10" s="1">
        <v>2014</v>
      </c>
      <c r="H10" s="2">
        <f>+K9</f>
        <v>2127.1329577533329</v>
      </c>
      <c r="I10" s="74">
        <v>1.95E-2</v>
      </c>
      <c r="J10" s="2">
        <f t="shared" si="2"/>
        <v>41.479092676189993</v>
      </c>
      <c r="K10" s="2">
        <f t="shared" si="3"/>
        <v>2168.6120504295227</v>
      </c>
    </row>
    <row r="11" spans="1:11">
      <c r="A11" s="61">
        <v>2014</v>
      </c>
      <c r="B11" s="75">
        <f t="shared" si="1"/>
        <v>288308.0101391119</v>
      </c>
      <c r="C11" s="268">
        <v>1.95E-2</v>
      </c>
      <c r="D11" s="538">
        <f>+Tabla3[[#This Row],[DEMANDA]]*Tabla3[[#This Row],[T. C .P]]</f>
        <v>5622.0061977126816</v>
      </c>
      <c r="E11" s="539">
        <f t="shared" si="0"/>
        <v>293930.01633682457</v>
      </c>
      <c r="G11" s="1">
        <v>2015</v>
      </c>
      <c r="H11" s="2">
        <f>+K10</f>
        <v>2168.6120504295227</v>
      </c>
      <c r="I11" s="74">
        <v>1.95E-2</v>
      </c>
      <c r="J11" s="2">
        <f t="shared" si="2"/>
        <v>42.287934983375692</v>
      </c>
      <c r="K11" s="2">
        <f t="shared" si="3"/>
        <v>2210.8999854128983</v>
      </c>
    </row>
    <row r="12" spans="1:11" ht="13.5" customHeight="1">
      <c r="A12" s="61">
        <v>2015</v>
      </c>
      <c r="B12" s="75">
        <f t="shared" si="1"/>
        <v>293930.01633682457</v>
      </c>
      <c r="C12" s="268">
        <v>1.95E-2</v>
      </c>
      <c r="D12" s="538">
        <f>+Tabla3[[#This Row],[DEMANDA]]*Tabla3[[#This Row],[T. C .P]]</f>
        <v>5731.6353185680791</v>
      </c>
      <c r="E12" s="539">
        <f>B12+D12</f>
        <v>299661.65165539266</v>
      </c>
    </row>
    <row r="13" spans="1:11">
      <c r="A13" s="62"/>
      <c r="B13" s="62"/>
    </row>
    <row r="14" spans="1:11">
      <c r="A14" s="62"/>
      <c r="B14" s="62"/>
    </row>
    <row r="18" spans="7:12" ht="13.5" thickBot="1"/>
    <row r="19" spans="7:12" ht="15">
      <c r="G19" s="731" t="s">
        <v>485</v>
      </c>
      <c r="H19" s="731" t="s">
        <v>82</v>
      </c>
      <c r="I19" s="731" t="s">
        <v>486</v>
      </c>
      <c r="J19" s="731" t="s">
        <v>487</v>
      </c>
      <c r="K19" s="731" t="s">
        <v>1</v>
      </c>
      <c r="L19" s="252"/>
    </row>
    <row r="20" spans="7:12" ht="15.75" thickBot="1">
      <c r="G20" s="732"/>
      <c r="H20" s="732"/>
      <c r="I20" s="732"/>
      <c r="J20" s="732"/>
      <c r="K20" s="732"/>
      <c r="L20" s="252"/>
    </row>
    <row r="21" spans="7:12" ht="15.75" thickBot="1">
      <c r="G21" s="269">
        <v>2010</v>
      </c>
      <c r="H21" s="27"/>
      <c r="I21" s="27"/>
      <c r="J21" s="27"/>
      <c r="K21" s="270">
        <v>146880</v>
      </c>
      <c r="L21" s="252"/>
    </row>
    <row r="22" spans="7:12" ht="15.75" thickBot="1">
      <c r="G22" s="269">
        <v>2011</v>
      </c>
      <c r="H22" s="270">
        <v>146880</v>
      </c>
      <c r="I22" s="271">
        <v>1.95E-2</v>
      </c>
      <c r="J22" s="30">
        <f>+H22*I22</f>
        <v>2864.16</v>
      </c>
      <c r="K22" s="270">
        <v>149744.16</v>
      </c>
      <c r="L22" s="252"/>
    </row>
    <row r="23" spans="7:12" ht="15.75" thickBot="1">
      <c r="G23" s="269">
        <v>2012</v>
      </c>
      <c r="H23" s="270">
        <v>149744.16</v>
      </c>
      <c r="I23" s="271">
        <v>1.95E-2</v>
      </c>
      <c r="J23" s="30">
        <f t="shared" ref="J23:J26" si="4">+H23*I23</f>
        <v>2920.0111200000001</v>
      </c>
      <c r="K23" s="270">
        <v>152664.17000000001</v>
      </c>
      <c r="L23" s="252"/>
    </row>
    <row r="24" spans="7:12" ht="15.75" thickBot="1">
      <c r="G24" s="269">
        <v>2013</v>
      </c>
      <c r="H24" s="270">
        <v>152664.17000000001</v>
      </c>
      <c r="I24" s="271">
        <v>1.95E-2</v>
      </c>
      <c r="J24" s="30">
        <f t="shared" si="4"/>
        <v>2976.9513150000002</v>
      </c>
      <c r="K24" s="270">
        <v>155641.12</v>
      </c>
      <c r="L24" s="252"/>
    </row>
    <row r="25" spans="7:12" ht="15.75" thickBot="1">
      <c r="G25" s="269">
        <v>2014</v>
      </c>
      <c r="H25" s="270">
        <v>155641.12</v>
      </c>
      <c r="I25" s="271">
        <v>1.95E-2</v>
      </c>
      <c r="J25" s="30">
        <f t="shared" si="4"/>
        <v>3035.0018399999999</v>
      </c>
      <c r="K25" s="270">
        <v>158676.12</v>
      </c>
      <c r="L25" s="252"/>
    </row>
    <row r="26" spans="7:12" ht="15.75" thickBot="1">
      <c r="G26" s="269">
        <v>2015</v>
      </c>
      <c r="H26" s="270">
        <v>158676.12</v>
      </c>
      <c r="I26" s="271">
        <v>1.95E-2</v>
      </c>
      <c r="J26" s="30">
        <f t="shared" si="4"/>
        <v>3094.1843399999998</v>
      </c>
      <c r="K26" s="270">
        <v>161770.31</v>
      </c>
      <c r="L26" s="252"/>
    </row>
  </sheetData>
  <mergeCells count="6">
    <mergeCell ref="K19:K20"/>
    <mergeCell ref="A3:E3"/>
    <mergeCell ref="G19:G20"/>
    <mergeCell ref="H19:H20"/>
    <mergeCell ref="I19:I20"/>
    <mergeCell ref="J19:J20"/>
  </mergeCells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"/>
  <dimension ref="A1:C13"/>
  <sheetViews>
    <sheetView topLeftCell="A4" workbookViewId="0">
      <selection activeCell="F8" sqref="F8"/>
    </sheetView>
  </sheetViews>
  <sheetFormatPr baseColWidth="10" defaultRowHeight="12.75"/>
  <cols>
    <col min="1" max="1" width="28.42578125" customWidth="1"/>
    <col min="3" max="3" width="17.140625" customWidth="1"/>
  </cols>
  <sheetData>
    <row r="1" spans="1:3" ht="18.75">
      <c r="A1" s="737" t="s">
        <v>106</v>
      </c>
      <c r="B1" s="737"/>
      <c r="C1" s="737"/>
    </row>
    <row r="2" spans="1:3" ht="13.5" thickBot="1"/>
    <row r="3" spans="1:3" ht="28.5">
      <c r="A3" s="79" t="s">
        <v>88</v>
      </c>
      <c r="B3" s="80" t="s">
        <v>89</v>
      </c>
      <c r="C3" s="79" t="s">
        <v>90</v>
      </c>
    </row>
    <row r="4" spans="1:3" ht="25.5">
      <c r="A4" s="77" t="s">
        <v>91</v>
      </c>
      <c r="B4" s="1" t="s">
        <v>96</v>
      </c>
      <c r="C4" s="77" t="s">
        <v>100</v>
      </c>
    </row>
    <row r="5" spans="1:3" ht="25.5">
      <c r="A5" s="405" t="s">
        <v>92</v>
      </c>
      <c r="B5" s="406" t="s">
        <v>97</v>
      </c>
      <c r="C5" s="406" t="s">
        <v>96</v>
      </c>
    </row>
    <row r="6" spans="1:3" ht="25.5">
      <c r="A6" s="77" t="s">
        <v>93</v>
      </c>
      <c r="B6" s="1" t="s">
        <v>98</v>
      </c>
      <c r="C6" s="1" t="s">
        <v>101</v>
      </c>
    </row>
    <row r="7" spans="1:3" ht="38.25">
      <c r="A7" s="78" t="s">
        <v>94</v>
      </c>
      <c r="B7" s="1" t="s">
        <v>99</v>
      </c>
      <c r="C7" s="78" t="s">
        <v>100</v>
      </c>
    </row>
    <row r="8" spans="1:3" ht="51.75" thickBot="1">
      <c r="A8" s="81" t="s">
        <v>95</v>
      </c>
      <c r="B8" s="18" t="s">
        <v>98</v>
      </c>
      <c r="C8" s="18" t="s">
        <v>99</v>
      </c>
    </row>
    <row r="9" spans="1:3" ht="14.25">
      <c r="A9" s="734" t="s">
        <v>102</v>
      </c>
      <c r="B9" s="735"/>
      <c r="C9" s="736"/>
    </row>
    <row r="10" spans="1:3" ht="135">
      <c r="A10" s="407" t="s">
        <v>103</v>
      </c>
      <c r="B10" s="408">
        <v>0.112</v>
      </c>
      <c r="C10" s="409" t="s">
        <v>104</v>
      </c>
    </row>
    <row r="11" spans="1:3" ht="5.25" customHeight="1"/>
    <row r="12" spans="1:3">
      <c r="A12" s="62" t="s">
        <v>105</v>
      </c>
      <c r="B12" s="62"/>
    </row>
    <row r="13" spans="1:3">
      <c r="A13" s="62" t="s">
        <v>73</v>
      </c>
      <c r="B13" s="62"/>
    </row>
  </sheetData>
  <mergeCells count="2">
    <mergeCell ref="A9:C9"/>
    <mergeCell ref="A1:C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S193"/>
  <sheetViews>
    <sheetView zoomScale="90" zoomScaleNormal="90" workbookViewId="0">
      <selection activeCell="M36" sqref="M36"/>
    </sheetView>
  </sheetViews>
  <sheetFormatPr baseColWidth="10" defaultRowHeight="12.75"/>
  <cols>
    <col min="2" max="2" width="20.7109375" customWidth="1"/>
    <col min="3" max="3" width="8.42578125" customWidth="1"/>
    <col min="4" max="4" width="8.140625" customWidth="1"/>
    <col min="5" max="5" width="11" customWidth="1"/>
    <col min="6" max="6" width="13.5703125" customWidth="1"/>
    <col min="7" max="7" width="10.28515625" customWidth="1"/>
    <col min="8" max="8" width="11.85546875" customWidth="1"/>
    <col min="9" max="9" width="9.7109375" customWidth="1"/>
    <col min="10" max="10" width="11.85546875" customWidth="1"/>
    <col min="11" max="11" width="10.140625" customWidth="1"/>
    <col min="12" max="12" width="11.7109375" customWidth="1"/>
    <col min="13" max="13" width="12.5703125" customWidth="1"/>
    <col min="14" max="14" width="10.7109375" customWidth="1"/>
    <col min="15" max="15" width="13.42578125" customWidth="1"/>
    <col min="16" max="16" width="7" customWidth="1"/>
    <col min="17" max="17" width="27.5703125" bestFit="1" customWidth="1"/>
  </cols>
  <sheetData>
    <row r="1" spans="1:19">
      <c r="A1" s="674" t="s">
        <v>709</v>
      </c>
      <c r="B1" s="674"/>
      <c r="C1" s="674"/>
      <c r="D1" s="674"/>
      <c r="E1" s="674"/>
      <c r="F1" s="674"/>
      <c r="G1" s="674"/>
    </row>
    <row r="2" spans="1:19">
      <c r="A2" s="641" t="s">
        <v>710</v>
      </c>
      <c r="B2" s="641"/>
      <c r="C2" s="642">
        <v>236</v>
      </c>
      <c r="F2" s="645" t="s">
        <v>717</v>
      </c>
      <c r="G2" s="643">
        <f>15*C2</f>
        <v>3540</v>
      </c>
    </row>
    <row r="3" spans="1:19">
      <c r="A3" s="641" t="s">
        <v>711</v>
      </c>
      <c r="B3" s="641"/>
      <c r="C3" s="643">
        <v>15</v>
      </c>
      <c r="F3" s="645" t="s">
        <v>718</v>
      </c>
      <c r="G3" s="643">
        <f>91.20436441*C2</f>
        <v>21524.230000759999</v>
      </c>
    </row>
    <row r="4" spans="1:19">
      <c r="A4" s="641" t="s">
        <v>712</v>
      </c>
      <c r="B4" s="641"/>
      <c r="C4" s="643">
        <v>5</v>
      </c>
      <c r="F4" s="645" t="s">
        <v>719</v>
      </c>
      <c r="G4" s="643">
        <f>15*C2</f>
        <v>3540</v>
      </c>
    </row>
    <row r="5" spans="1:19">
      <c r="A5" s="641" t="s">
        <v>714</v>
      </c>
      <c r="B5" s="641"/>
      <c r="C5" s="644">
        <v>0.16200000000000001</v>
      </c>
      <c r="D5" s="1">
        <f>+C5/12</f>
        <v>1.35E-2</v>
      </c>
      <c r="E5" s="647" t="s">
        <v>713</v>
      </c>
      <c r="F5" s="645" t="s">
        <v>720</v>
      </c>
      <c r="G5" s="643">
        <f>67.32737288*C2</f>
        <v>15889.25999968</v>
      </c>
    </row>
    <row r="6" spans="1:19">
      <c r="A6" s="641" t="s">
        <v>715</v>
      </c>
      <c r="B6" s="641"/>
      <c r="C6" s="644">
        <v>0.112</v>
      </c>
      <c r="D6" s="1">
        <f>+C6/12</f>
        <v>9.3333333333333341E-3</v>
      </c>
      <c r="E6" s="647" t="s">
        <v>713</v>
      </c>
      <c r="F6" s="646"/>
      <c r="G6" s="642"/>
    </row>
    <row r="7" spans="1:19">
      <c r="A7" s="641" t="s">
        <v>716</v>
      </c>
      <c r="B7" s="641"/>
      <c r="C7" s="644">
        <v>0.03</v>
      </c>
      <c r="D7" s="1">
        <f>+C7/12</f>
        <v>2.5000000000000001E-3</v>
      </c>
      <c r="E7" s="647" t="s">
        <v>713</v>
      </c>
      <c r="F7" s="646"/>
      <c r="G7" s="642"/>
    </row>
    <row r="8" spans="1:19">
      <c r="A8" s="96"/>
      <c r="B8" s="96"/>
      <c r="C8" s="630"/>
      <c r="E8" s="28"/>
    </row>
    <row r="9" spans="1:19">
      <c r="A9" s="96"/>
      <c r="B9" s="96"/>
      <c r="C9" s="630"/>
      <c r="E9" s="28"/>
    </row>
    <row r="10" spans="1:19" ht="20.25">
      <c r="A10" s="96"/>
      <c r="B10" s="675" t="s">
        <v>723</v>
      </c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</row>
    <row r="11" spans="1:19" ht="13.5" thickBot="1">
      <c r="A11" s="96"/>
      <c r="B11" s="96"/>
      <c r="C11" s="630"/>
      <c r="E11" s="28"/>
    </row>
    <row r="12" spans="1:19" ht="13.5" thickBot="1">
      <c r="B12" s="312"/>
      <c r="C12" s="318" t="s">
        <v>371</v>
      </c>
      <c r="D12" s="318" t="s">
        <v>370</v>
      </c>
      <c r="E12" s="318" t="s">
        <v>372</v>
      </c>
      <c r="F12" s="318" t="s">
        <v>373</v>
      </c>
      <c r="G12" s="318" t="s">
        <v>374</v>
      </c>
      <c r="H12" s="318" t="s">
        <v>375</v>
      </c>
      <c r="I12" s="318" t="s">
        <v>376</v>
      </c>
      <c r="J12" s="318" t="s">
        <v>377</v>
      </c>
      <c r="K12" s="318" t="s">
        <v>378</v>
      </c>
      <c r="L12" s="318" t="s">
        <v>379</v>
      </c>
      <c r="M12" s="318" t="s">
        <v>380</v>
      </c>
      <c r="N12" s="318" t="s">
        <v>381</v>
      </c>
      <c r="O12" s="319" t="s">
        <v>1</v>
      </c>
    </row>
    <row r="13" spans="1:19" ht="39" thickBot="1">
      <c r="B13" s="320" t="s">
        <v>152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Q13" s="313" t="s">
        <v>136</v>
      </c>
      <c r="R13" s="314" t="s">
        <v>383</v>
      </c>
      <c r="S13" s="314" t="s">
        <v>176</v>
      </c>
    </row>
    <row r="14" spans="1:19" ht="13.5" thickBot="1">
      <c r="B14" s="312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Q14" s="98" t="s">
        <v>517</v>
      </c>
      <c r="R14" s="330">
        <f>+SUELDOS!B11</f>
        <v>4779.3999999999996</v>
      </c>
      <c r="S14" s="330">
        <f>+R14/12</f>
        <v>398.2833333333333</v>
      </c>
    </row>
    <row r="15" spans="1:19" ht="13.5" thickBot="1">
      <c r="B15" s="322" t="s">
        <v>137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Q15" s="98" t="s">
        <v>518</v>
      </c>
      <c r="R15" s="330">
        <v>252</v>
      </c>
      <c r="S15" s="330">
        <f t="shared" ref="S15:S17" si="0">+R15/12</f>
        <v>21</v>
      </c>
    </row>
    <row r="16" spans="1:19" ht="13.5" thickBot="1">
      <c r="B16" s="313" t="s">
        <v>393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>
        <f>SUM(C16:N16)</f>
        <v>0</v>
      </c>
      <c r="Q16" s="315" t="s">
        <v>59</v>
      </c>
      <c r="R16" s="331">
        <v>240</v>
      </c>
      <c r="S16" s="330">
        <f t="shared" si="0"/>
        <v>20</v>
      </c>
    </row>
    <row r="17" spans="2:19" ht="13.5" thickBot="1">
      <c r="B17" s="313" t="s">
        <v>515</v>
      </c>
      <c r="C17" s="321"/>
      <c r="D17" s="321"/>
      <c r="E17" s="323"/>
      <c r="F17" s="321">
        <v>0</v>
      </c>
      <c r="G17" s="321"/>
      <c r="H17" s="321"/>
      <c r="I17" s="321"/>
      <c r="J17" s="321"/>
      <c r="K17" s="321"/>
      <c r="L17" s="321"/>
      <c r="M17" s="321"/>
      <c r="N17" s="321"/>
      <c r="O17" s="321">
        <f>SUM(C17:N17)</f>
        <v>0</v>
      </c>
      <c r="Q17" s="98" t="s">
        <v>177</v>
      </c>
      <c r="R17" s="330">
        <v>240</v>
      </c>
      <c r="S17" s="330">
        <f t="shared" si="0"/>
        <v>20</v>
      </c>
    </row>
    <row r="18" spans="2:19" ht="26.25" thickBot="1">
      <c r="B18" s="320" t="s">
        <v>390</v>
      </c>
      <c r="C18" s="321"/>
      <c r="D18" s="321"/>
      <c r="E18" s="321"/>
      <c r="F18" s="321">
        <f>+E31*D5</f>
        <v>47.79</v>
      </c>
      <c r="G18" s="323">
        <f>($E$31+$F$31)*$D$5</f>
        <v>338.36710501025999</v>
      </c>
      <c r="H18" s="323">
        <f t="shared" ref="H18:L18" si="1">($E$31+$F$31)*$D$5</f>
        <v>338.36710501025999</v>
      </c>
      <c r="I18" s="323">
        <f t="shared" si="1"/>
        <v>338.36710501025999</v>
      </c>
      <c r="J18" s="323">
        <f t="shared" si="1"/>
        <v>338.36710501025999</v>
      </c>
      <c r="K18" s="323">
        <f>($E$31+$F$31)*$D$5</f>
        <v>338.36710501025999</v>
      </c>
      <c r="L18" s="323">
        <f t="shared" si="1"/>
        <v>338.36710501025999</v>
      </c>
      <c r="M18" s="323">
        <f>($K$31+$L$31)*$D$5</f>
        <v>262.29500999567995</v>
      </c>
      <c r="N18" s="323">
        <f>($K$31+$L$31)*$D$5</f>
        <v>262.29500999567995</v>
      </c>
      <c r="O18" s="323">
        <f>SUM(C18:N18)</f>
        <v>2602.5826500529201</v>
      </c>
      <c r="Q18" s="98" t="s">
        <v>727</v>
      </c>
      <c r="R18" s="330">
        <v>0</v>
      </c>
      <c r="S18" s="330">
        <f t="shared" ref="S18" si="2">+R18/12</f>
        <v>0</v>
      </c>
    </row>
    <row r="19" spans="2:19" ht="26.25" thickBot="1">
      <c r="B19" s="320" t="s">
        <v>392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3">
        <f t="shared" ref="O19:O26" si="3">SUM(C19:N19)</f>
        <v>0</v>
      </c>
      <c r="Q19" s="315" t="s">
        <v>519</v>
      </c>
      <c r="R19" s="331">
        <f>SUM(R14:R17)</f>
        <v>5511.4</v>
      </c>
      <c r="S19" s="330">
        <f>+R19/12</f>
        <v>459.2833333333333</v>
      </c>
    </row>
    <row r="20" spans="2:19" ht="26.25" thickBot="1">
      <c r="B20" s="320" t="s">
        <v>505</v>
      </c>
      <c r="C20" s="321"/>
      <c r="D20" s="321"/>
      <c r="E20" s="323">
        <v>0</v>
      </c>
      <c r="F20" s="321"/>
      <c r="G20" s="321"/>
      <c r="H20" s="321"/>
      <c r="I20" s="321"/>
      <c r="J20" s="321"/>
      <c r="K20" s="323">
        <v>0</v>
      </c>
      <c r="L20" s="321"/>
      <c r="M20" s="321"/>
      <c r="N20" s="321"/>
      <c r="O20" s="323">
        <f t="shared" si="3"/>
        <v>0</v>
      </c>
      <c r="Q20" s="315" t="s">
        <v>521</v>
      </c>
      <c r="R20" s="331">
        <f>+R19*5%</f>
        <v>275.57</v>
      </c>
      <c r="S20" s="330">
        <f>+R20/12</f>
        <v>22.964166666666667</v>
      </c>
    </row>
    <row r="21" spans="2:19" ht="13.5" thickBot="1">
      <c r="B21" s="320" t="s">
        <v>513</v>
      </c>
      <c r="C21" s="321"/>
      <c r="D21" s="321"/>
      <c r="E21" s="321">
        <f>+$C$4*$C$2</f>
        <v>1180</v>
      </c>
      <c r="F21" s="321">
        <f t="shared" ref="F21:N21" si="4">+$C$4*$C$2</f>
        <v>1180</v>
      </c>
      <c r="G21" s="321">
        <f t="shared" si="4"/>
        <v>1180</v>
      </c>
      <c r="H21" s="321">
        <f t="shared" si="4"/>
        <v>1180</v>
      </c>
      <c r="I21" s="321">
        <f t="shared" si="4"/>
        <v>1180</v>
      </c>
      <c r="J21" s="321">
        <f t="shared" si="4"/>
        <v>1180</v>
      </c>
      <c r="K21" s="321">
        <f t="shared" si="4"/>
        <v>1180</v>
      </c>
      <c r="L21" s="321">
        <f t="shared" si="4"/>
        <v>1180</v>
      </c>
      <c r="M21" s="321">
        <f t="shared" si="4"/>
        <v>1180</v>
      </c>
      <c r="N21" s="321">
        <f t="shared" si="4"/>
        <v>1180</v>
      </c>
      <c r="O21" s="323">
        <f>SUM(E21:N21)</f>
        <v>11800</v>
      </c>
      <c r="P21" s="367"/>
      <c r="Q21" s="316" t="s">
        <v>523</v>
      </c>
      <c r="R21" s="332">
        <f>+R19+R20</f>
        <v>5786.9699999999993</v>
      </c>
      <c r="S21" s="332">
        <f>+R21/12</f>
        <v>482.24749999999995</v>
      </c>
    </row>
    <row r="22" spans="2:19" ht="15.75" thickBot="1">
      <c r="B22" s="320" t="s">
        <v>514</v>
      </c>
      <c r="C22" s="321"/>
      <c r="D22" s="321"/>
      <c r="E22" s="321">
        <f>+$C$2*$C$3</f>
        <v>3540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3">
        <f>SUM(C22:N22)</f>
        <v>3540</v>
      </c>
      <c r="Q22" s="527" t="s">
        <v>524</v>
      </c>
      <c r="R22" s="527"/>
      <c r="S22" s="97"/>
    </row>
    <row r="23" spans="2:19" ht="13.5" thickBot="1">
      <c r="B23" s="320" t="s">
        <v>511</v>
      </c>
      <c r="C23" s="321">
        <f t="shared" ref="C23:J23" si="5">+C48</f>
        <v>0</v>
      </c>
      <c r="D23" s="321">
        <f t="shared" si="5"/>
        <v>0</v>
      </c>
      <c r="E23" s="321">
        <f t="shared" si="5"/>
        <v>0</v>
      </c>
      <c r="F23" s="321">
        <f t="shared" si="5"/>
        <v>0</v>
      </c>
      <c r="G23" s="321">
        <f t="shared" si="5"/>
        <v>0</v>
      </c>
      <c r="H23" s="321">
        <f t="shared" si="5"/>
        <v>0</v>
      </c>
      <c r="I23" s="321">
        <f t="shared" si="5"/>
        <v>0</v>
      </c>
      <c r="J23" s="321">
        <f t="shared" si="5"/>
        <v>0</v>
      </c>
      <c r="K23" s="323">
        <f>+E31</f>
        <v>3540</v>
      </c>
      <c r="L23" s="323">
        <f>+F31</f>
        <v>21524.230000759999</v>
      </c>
      <c r="M23" s="321">
        <f>+M48</f>
        <v>0</v>
      </c>
      <c r="N23" s="321">
        <f>+N48</f>
        <v>0</v>
      </c>
      <c r="O23" s="323">
        <f>SUM(C23:N23)</f>
        <v>25064.230000759999</v>
      </c>
    </row>
    <row r="24" spans="2:19" ht="13.5" thickBot="1">
      <c r="B24" s="320" t="s">
        <v>153</v>
      </c>
      <c r="C24" s="323">
        <f>SUM(C17:C23)</f>
        <v>0</v>
      </c>
      <c r="D24" s="323">
        <f t="shared" ref="D24" si="6">SUM(D17:D23)</f>
        <v>0</v>
      </c>
      <c r="E24" s="323">
        <f>SUM(E13:E23)</f>
        <v>4720</v>
      </c>
      <c r="F24" s="323">
        <f>SUM(F13:F23)</f>
        <v>1227.79</v>
      </c>
      <c r="G24" s="323">
        <f t="shared" ref="G24:N24" si="7">SUM(G13:G23)</f>
        <v>1518.36710501026</v>
      </c>
      <c r="H24" s="323">
        <f t="shared" si="7"/>
        <v>1518.36710501026</v>
      </c>
      <c r="I24" s="323">
        <f t="shared" si="7"/>
        <v>1518.36710501026</v>
      </c>
      <c r="J24" s="323">
        <f t="shared" si="7"/>
        <v>1518.36710501026</v>
      </c>
      <c r="K24" s="323">
        <f t="shared" si="7"/>
        <v>5058.3671050102603</v>
      </c>
      <c r="L24" s="323">
        <f t="shared" si="7"/>
        <v>23042.597105770259</v>
      </c>
      <c r="M24" s="323">
        <f t="shared" si="7"/>
        <v>1442.2950099956799</v>
      </c>
      <c r="N24" s="323">
        <f t="shared" si="7"/>
        <v>1442.2950099956799</v>
      </c>
      <c r="O24" s="323">
        <f>SUM(C24:N24)</f>
        <v>43006.812650812921</v>
      </c>
    </row>
    <row r="25" spans="2:19" ht="13.5" thickBot="1">
      <c r="B25" s="312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3">
        <f t="shared" si="3"/>
        <v>0</v>
      </c>
    </row>
    <row r="26" spans="2:19" ht="13.5" thickBot="1">
      <c r="B26" s="322" t="s">
        <v>154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3">
        <f t="shared" si="3"/>
        <v>0</v>
      </c>
      <c r="R26" s="28"/>
    </row>
    <row r="27" spans="2:19" ht="13.5" thickBot="1">
      <c r="B27" s="320" t="s">
        <v>389</v>
      </c>
      <c r="C27" s="325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3">
        <f>SUM(C27:N27)</f>
        <v>0</v>
      </c>
    </row>
    <row r="28" spans="2:19" ht="39" thickBot="1">
      <c r="B28" s="327" t="s">
        <v>510</v>
      </c>
      <c r="C28" s="325">
        <f t="shared" ref="C28:C29" si="8">SUM(C25)</f>
        <v>0</v>
      </c>
      <c r="D28" s="326"/>
      <c r="E28" s="326">
        <f>+$E$22*$D$7</f>
        <v>8.85</v>
      </c>
      <c r="F28" s="326">
        <f t="shared" ref="F28:N28" si="9">+$E$22*$D$7</f>
        <v>8.85</v>
      </c>
      <c r="G28" s="326">
        <f t="shared" si="9"/>
        <v>8.85</v>
      </c>
      <c r="H28" s="326">
        <f t="shared" si="9"/>
        <v>8.85</v>
      </c>
      <c r="I28" s="326">
        <f t="shared" si="9"/>
        <v>8.85</v>
      </c>
      <c r="J28" s="326">
        <f t="shared" si="9"/>
        <v>8.85</v>
      </c>
      <c r="K28" s="326">
        <f t="shared" si="9"/>
        <v>8.85</v>
      </c>
      <c r="L28" s="326">
        <f t="shared" si="9"/>
        <v>8.85</v>
      </c>
      <c r="M28" s="326">
        <f t="shared" si="9"/>
        <v>8.85</v>
      </c>
      <c r="N28" s="326">
        <f t="shared" si="9"/>
        <v>8.85</v>
      </c>
      <c r="O28" s="323">
        <f t="shared" ref="O28:O31" si="10">SUM(C28:N28)</f>
        <v>88.499999999999986</v>
      </c>
    </row>
    <row r="29" spans="2:19" ht="13.5" thickBot="1">
      <c r="B29" s="312" t="s">
        <v>509</v>
      </c>
      <c r="C29" s="325">
        <f t="shared" si="8"/>
        <v>0</v>
      </c>
      <c r="D29" s="326"/>
      <c r="E29" s="323">
        <f>+$E$21*$D$7</f>
        <v>2.95</v>
      </c>
      <c r="F29" s="323">
        <f t="shared" ref="F29:M29" si="11">+$E$21*$D$7</f>
        <v>2.95</v>
      </c>
      <c r="G29" s="323">
        <f t="shared" si="11"/>
        <v>2.95</v>
      </c>
      <c r="H29" s="323">
        <f t="shared" si="11"/>
        <v>2.95</v>
      </c>
      <c r="I29" s="323">
        <f t="shared" si="11"/>
        <v>2.95</v>
      </c>
      <c r="J29" s="323">
        <f t="shared" si="11"/>
        <v>2.95</v>
      </c>
      <c r="K29" s="323">
        <f t="shared" si="11"/>
        <v>2.95</v>
      </c>
      <c r="L29" s="323">
        <f t="shared" si="11"/>
        <v>2.95</v>
      </c>
      <c r="M29" s="323">
        <f t="shared" si="11"/>
        <v>2.95</v>
      </c>
      <c r="N29" s="323">
        <f>+$E$21*$D$7</f>
        <v>2.95</v>
      </c>
      <c r="O29" s="323">
        <f t="shared" si="10"/>
        <v>29.499999999999996</v>
      </c>
    </row>
    <row r="30" spans="2:19" ht="13.5" thickBot="1">
      <c r="B30" s="312" t="s">
        <v>516</v>
      </c>
      <c r="C30" s="325"/>
      <c r="D30" s="325"/>
      <c r="E30" s="325">
        <f t="shared" ref="E30:N30" si="12">+$S$21</f>
        <v>482.24749999999995</v>
      </c>
      <c r="F30" s="325">
        <f t="shared" si="12"/>
        <v>482.24749999999995</v>
      </c>
      <c r="G30" s="325">
        <f t="shared" si="12"/>
        <v>482.24749999999995</v>
      </c>
      <c r="H30" s="325">
        <f t="shared" si="12"/>
        <v>482.24749999999995</v>
      </c>
      <c r="I30" s="325">
        <f t="shared" si="12"/>
        <v>482.24749999999995</v>
      </c>
      <c r="J30" s="325">
        <f t="shared" si="12"/>
        <v>482.24749999999995</v>
      </c>
      <c r="K30" s="325">
        <f t="shared" si="12"/>
        <v>482.24749999999995</v>
      </c>
      <c r="L30" s="325">
        <f t="shared" si="12"/>
        <v>482.24749999999995</v>
      </c>
      <c r="M30" s="325">
        <f t="shared" si="12"/>
        <v>482.24749999999995</v>
      </c>
      <c r="N30" s="325">
        <f t="shared" si="12"/>
        <v>482.24749999999995</v>
      </c>
      <c r="O30" s="323">
        <f t="shared" si="10"/>
        <v>4822.4749999999985</v>
      </c>
    </row>
    <row r="31" spans="2:19" ht="13.5" thickBot="1">
      <c r="B31" s="102" t="s">
        <v>512</v>
      </c>
      <c r="C31" s="325">
        <f>SUM(C27)</f>
        <v>0</v>
      </c>
      <c r="D31" s="323"/>
      <c r="E31" s="328">
        <f>+G2</f>
        <v>3540</v>
      </c>
      <c r="F31" s="328">
        <f>+G3</f>
        <v>21524.230000759999</v>
      </c>
      <c r="G31" s="328"/>
      <c r="H31" s="328"/>
      <c r="I31" s="328"/>
      <c r="J31" s="328"/>
      <c r="K31" s="328">
        <f>+G4</f>
        <v>3540</v>
      </c>
      <c r="L31" s="328">
        <f>+G5</f>
        <v>15889.25999968</v>
      </c>
      <c r="M31" s="328"/>
      <c r="N31" s="328"/>
      <c r="O31" s="323">
        <f t="shared" si="10"/>
        <v>44493.490000439997</v>
      </c>
    </row>
    <row r="32" spans="2:19" ht="13.5" thickBot="1">
      <c r="B32" s="102" t="s">
        <v>525</v>
      </c>
      <c r="C32" s="325"/>
      <c r="D32" s="323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>
        <f>SUM(C32:N32)</f>
        <v>0</v>
      </c>
    </row>
    <row r="33" spans="2:15" ht="13.5" thickBot="1">
      <c r="B33" s="324" t="s">
        <v>444</v>
      </c>
      <c r="C33" s="329">
        <f>SUM(C31)</f>
        <v>0</v>
      </c>
      <c r="D33" s="329">
        <f t="shared" ref="D33" si="13">SUM(D31)</f>
        <v>0</v>
      </c>
      <c r="E33" s="329">
        <f>SUM(E28:E32)</f>
        <v>4034.0475000000001</v>
      </c>
      <c r="F33" s="329">
        <f>SUM(F28:F31)</f>
        <v>22018.277500759999</v>
      </c>
      <c r="G33" s="329">
        <f>SUM(G28:G31)</f>
        <v>494.04749999999996</v>
      </c>
      <c r="H33" s="329">
        <f>SUM(H28:H31)</f>
        <v>494.04749999999996</v>
      </c>
      <c r="I33" s="329">
        <f t="shared" ref="I33:N33" si="14">SUM(I28:I31)</f>
        <v>494.04749999999996</v>
      </c>
      <c r="J33" s="329">
        <f t="shared" si="14"/>
        <v>494.04749999999996</v>
      </c>
      <c r="K33" s="329">
        <f t="shared" si="14"/>
        <v>4034.0475000000001</v>
      </c>
      <c r="L33" s="329">
        <f>SUM(L28:L32)</f>
        <v>16383.307499680001</v>
      </c>
      <c r="M33" s="329">
        <f t="shared" si="14"/>
        <v>494.04749999999996</v>
      </c>
      <c r="N33" s="329">
        <f t="shared" si="14"/>
        <v>494.04749999999996</v>
      </c>
      <c r="O33" s="329">
        <f>SUM(O28:O32)</f>
        <v>49433.965000439995</v>
      </c>
    </row>
    <row r="34" spans="2:15" ht="13.5" thickBot="1">
      <c r="B34" s="324" t="s">
        <v>445</v>
      </c>
      <c r="C34" s="329">
        <f t="shared" ref="C34:N34" si="15">+C24-C33</f>
        <v>0</v>
      </c>
      <c r="D34" s="329">
        <f t="shared" si="15"/>
        <v>0</v>
      </c>
      <c r="E34" s="329">
        <f>+E24-E33</f>
        <v>685.95249999999987</v>
      </c>
      <c r="F34" s="329">
        <f>+F24-F33</f>
        <v>-20790.487500759999</v>
      </c>
      <c r="G34" s="329">
        <f>+G24-G33</f>
        <v>1024.3196050102601</v>
      </c>
      <c r="H34" s="329">
        <f t="shared" si="15"/>
        <v>1024.3196050102601</v>
      </c>
      <c r="I34" s="329">
        <f t="shared" si="15"/>
        <v>1024.3196050102601</v>
      </c>
      <c r="J34" s="329">
        <f t="shared" si="15"/>
        <v>1024.3196050102601</v>
      </c>
      <c r="K34" s="329">
        <f t="shared" si="15"/>
        <v>1024.3196050102601</v>
      </c>
      <c r="L34" s="329">
        <f t="shared" si="15"/>
        <v>6659.2896060902585</v>
      </c>
      <c r="M34" s="329">
        <f t="shared" si="15"/>
        <v>948.24750999568005</v>
      </c>
      <c r="N34" s="329">
        <f t="shared" si="15"/>
        <v>948.24750999568005</v>
      </c>
      <c r="O34" s="329">
        <f>+O24-O33</f>
        <v>-6427.1523496270747</v>
      </c>
    </row>
    <row r="35" spans="2:15" ht="13.5" thickBot="1">
      <c r="B35" s="324" t="s">
        <v>446</v>
      </c>
      <c r="C35" s="324">
        <v>0</v>
      </c>
      <c r="D35" s="329">
        <f>+C35+D34</f>
        <v>0</v>
      </c>
      <c r="E35" s="329">
        <f>+D35+E34</f>
        <v>685.95249999999987</v>
      </c>
      <c r="F35" s="631">
        <f>+E35+F34</f>
        <v>-20104.535000759999</v>
      </c>
      <c r="G35" s="329">
        <f>+F35+G34</f>
        <v>-19080.215395749739</v>
      </c>
      <c r="H35" s="329">
        <f t="shared" ref="H35:M35" si="16">+G35+H34</f>
        <v>-18055.89579073948</v>
      </c>
      <c r="I35" s="329">
        <f t="shared" si="16"/>
        <v>-17031.57618572922</v>
      </c>
      <c r="J35" s="329">
        <f t="shared" si="16"/>
        <v>-16007.25658071896</v>
      </c>
      <c r="K35" s="329">
        <f t="shared" si="16"/>
        <v>-14982.936975708701</v>
      </c>
      <c r="L35" s="329">
        <f t="shared" si="16"/>
        <v>-8323.6473696184421</v>
      </c>
      <c r="M35" s="329">
        <f t="shared" si="16"/>
        <v>-7375.3998596227621</v>
      </c>
      <c r="N35" s="329">
        <f>+M35+N34</f>
        <v>-6427.152349627082</v>
      </c>
      <c r="O35" s="323"/>
    </row>
    <row r="36" spans="2:15"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4"/>
    </row>
    <row r="37" spans="2:15" hidden="1">
      <c r="B37" s="295"/>
      <c r="C37" s="295"/>
      <c r="D37" s="295">
        <v>3540</v>
      </c>
      <c r="E37" s="311">
        <v>0.03</v>
      </c>
      <c r="F37" s="295">
        <f>+E37/12</f>
        <v>2.5000000000000001E-3</v>
      </c>
      <c r="G37" s="295">
        <f>17631.41+15848.76</f>
        <v>33480.17</v>
      </c>
      <c r="H37" s="295"/>
      <c r="I37" s="295"/>
      <c r="J37" s="295"/>
      <c r="K37" s="295"/>
      <c r="L37" s="295"/>
      <c r="M37" s="295"/>
      <c r="N37" s="295"/>
      <c r="O37" s="293"/>
    </row>
    <row r="38" spans="2:15" hidden="1">
      <c r="D38">
        <v>3540</v>
      </c>
      <c r="E38" s="254">
        <v>0.16200000000000001</v>
      </c>
      <c r="F38" s="254">
        <f>+E38/12</f>
        <v>1.35E-2</v>
      </c>
      <c r="G38">
        <f>+G37*0.2</f>
        <v>6696.0339999999997</v>
      </c>
    </row>
    <row r="39" spans="2:15" hidden="1">
      <c r="D39" s="37">
        <f>+F31</f>
        <v>21524.230000759999</v>
      </c>
    </row>
    <row r="40" spans="2:15" ht="13.5" hidden="1" thickBot="1"/>
    <row r="41" spans="2:15" ht="13.5" hidden="1" thickBot="1">
      <c r="B41" s="296"/>
      <c r="C41" s="297" t="s">
        <v>371</v>
      </c>
      <c r="D41" s="297" t="s">
        <v>370</v>
      </c>
      <c r="E41" s="297" t="s">
        <v>372</v>
      </c>
      <c r="F41" s="297" t="s">
        <v>373</v>
      </c>
      <c r="G41" s="297" t="s">
        <v>374</v>
      </c>
      <c r="H41" s="297" t="s">
        <v>375</v>
      </c>
      <c r="I41" s="297" t="s">
        <v>376</v>
      </c>
      <c r="J41" s="297" t="s">
        <v>377</v>
      </c>
      <c r="K41" s="297" t="s">
        <v>378</v>
      </c>
      <c r="L41" s="297" t="s">
        <v>379</v>
      </c>
      <c r="M41" s="297" t="s">
        <v>380</v>
      </c>
      <c r="N41" s="297" t="s">
        <v>381</v>
      </c>
      <c r="O41" s="298" t="s">
        <v>1</v>
      </c>
    </row>
    <row r="42" spans="2:15" ht="13.5" hidden="1" thickBot="1">
      <c r="B42" s="299" t="s">
        <v>152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</row>
    <row r="43" spans="2:15" ht="13.5" hidden="1" thickBot="1">
      <c r="B43" s="301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</row>
    <row r="44" spans="2:15" ht="13.5" hidden="1" thickBot="1">
      <c r="B44" s="302" t="s">
        <v>137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</row>
    <row r="45" spans="2:15" ht="13.5" hidden="1" thickBot="1">
      <c r="B45" s="303" t="s">
        <v>393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</row>
    <row r="46" spans="2:15" ht="13.5" hidden="1" thickBot="1">
      <c r="B46" s="299" t="s">
        <v>390</v>
      </c>
      <c r="C46" s="300"/>
      <c r="D46" s="300"/>
      <c r="E46" s="300"/>
      <c r="F46" s="304">
        <v>48.19</v>
      </c>
      <c r="G46" s="304">
        <v>257.70999999999998</v>
      </c>
      <c r="H46" s="304">
        <v>257.70999999999998</v>
      </c>
      <c r="I46" s="304">
        <v>257.70999999999998</v>
      </c>
      <c r="J46" s="304">
        <v>257.70999999999998</v>
      </c>
      <c r="K46" s="304">
        <v>257.70999999999998</v>
      </c>
      <c r="L46" s="304">
        <v>257.70999999999998</v>
      </c>
      <c r="M46" s="304">
        <v>257.70999999999998</v>
      </c>
      <c r="N46" s="304">
        <v>257.70999999999998</v>
      </c>
      <c r="O46" s="304">
        <v>2109.91</v>
      </c>
    </row>
    <row r="47" spans="2:15" ht="13.5" hidden="1" thickBot="1">
      <c r="B47" s="299" t="s">
        <v>392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4">
        <v>0</v>
      </c>
    </row>
    <row r="48" spans="2:15" ht="13.5" hidden="1" thickBot="1">
      <c r="B48" s="299" t="s">
        <v>391</v>
      </c>
      <c r="C48" s="300"/>
      <c r="D48" s="300"/>
      <c r="E48" s="300"/>
      <c r="F48" s="300"/>
      <c r="G48" s="300"/>
      <c r="H48" s="300"/>
      <c r="I48" s="300"/>
      <c r="J48" s="300"/>
      <c r="K48" s="304">
        <f>+D38</f>
        <v>3540</v>
      </c>
      <c r="L48" s="304">
        <f>+D39</f>
        <v>21524.230000759999</v>
      </c>
      <c r="M48" s="300"/>
      <c r="N48" s="300"/>
      <c r="O48" s="304">
        <v>19090</v>
      </c>
    </row>
    <row r="49" spans="2:15" ht="13.5" hidden="1" thickBot="1">
      <c r="B49" s="299" t="s">
        <v>385</v>
      </c>
      <c r="C49" s="300"/>
      <c r="D49" s="304">
        <v>236</v>
      </c>
      <c r="E49" s="304">
        <v>236</v>
      </c>
      <c r="F49" s="304">
        <v>236</v>
      </c>
      <c r="G49" s="304">
        <v>236</v>
      </c>
      <c r="H49" s="304">
        <v>236</v>
      </c>
      <c r="I49" s="304">
        <v>236</v>
      </c>
      <c r="J49" s="304">
        <v>236</v>
      </c>
      <c r="K49" s="304">
        <v>236</v>
      </c>
      <c r="L49" s="304">
        <v>236</v>
      </c>
      <c r="M49" s="304">
        <v>236</v>
      </c>
      <c r="N49" s="304">
        <v>236</v>
      </c>
      <c r="O49" s="304">
        <v>2124</v>
      </c>
    </row>
    <row r="50" spans="2:15" ht="34.5" hidden="1" thickBot="1">
      <c r="B50" s="299" t="s">
        <v>386</v>
      </c>
      <c r="C50" s="300"/>
      <c r="D50" s="304">
        <v>3540</v>
      </c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4">
        <v>3540</v>
      </c>
    </row>
    <row r="51" spans="2:15" ht="13.5" hidden="1" thickBot="1">
      <c r="B51" s="299" t="s">
        <v>153</v>
      </c>
      <c r="C51" s="304">
        <v>0</v>
      </c>
      <c r="D51" s="304">
        <v>3776</v>
      </c>
      <c r="E51" s="304">
        <v>236</v>
      </c>
      <c r="F51" s="304">
        <v>284.19</v>
      </c>
      <c r="G51" s="304">
        <v>493.71</v>
      </c>
      <c r="H51" s="304">
        <v>493.71</v>
      </c>
      <c r="I51" s="304">
        <v>493.71</v>
      </c>
      <c r="J51" s="304">
        <v>493.71</v>
      </c>
      <c r="K51" s="304">
        <v>4063.71</v>
      </c>
      <c r="L51" s="304">
        <v>16013.71</v>
      </c>
      <c r="M51" s="304">
        <v>493.71</v>
      </c>
      <c r="N51" s="304">
        <v>493.71</v>
      </c>
      <c r="O51" s="304">
        <v>27335.87</v>
      </c>
    </row>
    <row r="52" spans="2:15" ht="13.5" hidden="1" thickBot="1">
      <c r="B52" s="301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4">
        <v>0</v>
      </c>
    </row>
    <row r="53" spans="2:15" ht="13.5" hidden="1" thickBot="1">
      <c r="B53" s="302" t="s">
        <v>154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4">
        <v>0</v>
      </c>
    </row>
    <row r="54" spans="2:15" ht="13.5" hidden="1" thickBot="1">
      <c r="B54" s="299" t="s">
        <v>388</v>
      </c>
      <c r="C54" s="306"/>
      <c r="D54" s="306"/>
      <c r="E54" s="307">
        <v>3570</v>
      </c>
      <c r="F54" s="307">
        <v>15520</v>
      </c>
      <c r="G54" s="306"/>
      <c r="H54" s="306"/>
      <c r="I54" s="306"/>
      <c r="J54" s="306"/>
      <c r="K54" s="307">
        <v>3570</v>
      </c>
      <c r="L54" s="307">
        <f>+D39</f>
        <v>21524.230000759999</v>
      </c>
      <c r="M54" s="306"/>
      <c r="N54" s="306"/>
      <c r="O54" s="304">
        <v>34610</v>
      </c>
    </row>
    <row r="55" spans="2:15" ht="13.5" hidden="1" thickBot="1">
      <c r="B55" s="299" t="s">
        <v>387</v>
      </c>
      <c r="C55" s="306"/>
      <c r="D55" s="306"/>
      <c r="E55" s="306"/>
      <c r="F55" s="300"/>
      <c r="G55" s="300"/>
      <c r="H55" s="300"/>
      <c r="I55" s="306"/>
      <c r="J55" s="306"/>
      <c r="K55" s="306"/>
      <c r="L55" s="306"/>
      <c r="M55" s="306"/>
      <c r="N55" s="306"/>
      <c r="O55" s="304">
        <v>0</v>
      </c>
    </row>
    <row r="56" spans="2:15" ht="13.5" hidden="1" thickBot="1">
      <c r="B56" s="299" t="s">
        <v>389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4">
        <v>0</v>
      </c>
    </row>
    <row r="57" spans="2:15" ht="34.5" hidden="1" thickBot="1">
      <c r="B57" s="308" t="s">
        <v>504</v>
      </c>
      <c r="C57" s="306"/>
      <c r="D57" s="306"/>
      <c r="E57" s="307">
        <v>15.73</v>
      </c>
      <c r="F57" s="307">
        <v>16.72</v>
      </c>
      <c r="G57" s="307">
        <v>17.7</v>
      </c>
      <c r="H57" s="307">
        <v>18.68</v>
      </c>
      <c r="I57" s="307">
        <v>19.670000000000002</v>
      </c>
      <c r="J57" s="307">
        <v>20.65</v>
      </c>
      <c r="K57" s="307">
        <v>21.63</v>
      </c>
      <c r="L57" s="307">
        <v>22.62</v>
      </c>
      <c r="M57" s="307">
        <v>23.6</v>
      </c>
      <c r="N57" s="307">
        <v>24.58</v>
      </c>
      <c r="O57" s="304">
        <v>201.58</v>
      </c>
    </row>
    <row r="58" spans="2:15" ht="13.5" hidden="1" thickBot="1">
      <c r="B58" s="301"/>
      <c r="C58" s="306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4">
        <v>0</v>
      </c>
    </row>
    <row r="59" spans="2:15" ht="13.5" hidden="1" thickBot="1">
      <c r="B59" s="309" t="s">
        <v>444</v>
      </c>
      <c r="C59" s="310">
        <v>0</v>
      </c>
      <c r="D59" s="310">
        <v>0</v>
      </c>
      <c r="E59" s="310">
        <f>SUM(E53:E57)</f>
        <v>3585.73</v>
      </c>
      <c r="F59" s="310">
        <f t="shared" ref="F59:N59" si="17">SUM(F53:F57)</f>
        <v>15536.72</v>
      </c>
      <c r="G59" s="310">
        <f t="shared" si="17"/>
        <v>17.7</v>
      </c>
      <c r="H59" s="310">
        <f t="shared" si="17"/>
        <v>18.68</v>
      </c>
      <c r="I59" s="310">
        <f t="shared" si="17"/>
        <v>19.670000000000002</v>
      </c>
      <c r="J59" s="310">
        <f t="shared" si="17"/>
        <v>20.65</v>
      </c>
      <c r="K59" s="310">
        <f t="shared" si="17"/>
        <v>3591.63</v>
      </c>
      <c r="L59" s="310">
        <f t="shared" si="17"/>
        <v>21546.850000759998</v>
      </c>
      <c r="M59" s="310">
        <f t="shared" si="17"/>
        <v>23.6</v>
      </c>
      <c r="N59" s="310">
        <f t="shared" si="17"/>
        <v>24.58</v>
      </c>
      <c r="O59" s="304">
        <v>38381.58</v>
      </c>
    </row>
    <row r="60" spans="2:15" ht="13.5" hidden="1" thickBot="1">
      <c r="B60" s="309" t="s">
        <v>445</v>
      </c>
      <c r="C60" s="310">
        <v>0</v>
      </c>
      <c r="D60" s="310">
        <v>3776</v>
      </c>
      <c r="E60" s="310">
        <v>-3349.73</v>
      </c>
      <c r="F60" s="310">
        <v>-15252.53</v>
      </c>
      <c r="G60" s="310">
        <v>476.01</v>
      </c>
      <c r="H60" s="310">
        <v>475.03</v>
      </c>
      <c r="I60" s="310">
        <v>474.04</v>
      </c>
      <c r="J60" s="310">
        <v>473.06</v>
      </c>
      <c r="K60" s="310">
        <v>472.08</v>
      </c>
      <c r="L60" s="310">
        <v>471.09</v>
      </c>
      <c r="M60" s="310">
        <v>470.11</v>
      </c>
      <c r="N60" s="310">
        <v>469.13</v>
      </c>
      <c r="O60" s="304">
        <v>-11045.71</v>
      </c>
    </row>
    <row r="61" spans="2:15" ht="13.5" hidden="1" thickBot="1">
      <c r="B61" s="309" t="s">
        <v>446</v>
      </c>
      <c r="C61" s="310">
        <v>0</v>
      </c>
      <c r="D61" s="310">
        <v>3776</v>
      </c>
      <c r="E61" s="310">
        <v>426.27</v>
      </c>
      <c r="F61" s="310">
        <v>-14826.26</v>
      </c>
      <c r="G61" s="310">
        <v>-14350.25</v>
      </c>
      <c r="H61" s="310">
        <v>-13875.22</v>
      </c>
      <c r="I61" s="310">
        <v>-13401.18</v>
      </c>
      <c r="J61" s="310">
        <v>-12928.12</v>
      </c>
      <c r="K61" s="310">
        <v>-12456.04</v>
      </c>
      <c r="L61" s="310">
        <v>-11984.95</v>
      </c>
      <c r="M61" s="310">
        <v>-11514.84</v>
      </c>
      <c r="N61" s="310">
        <v>-11045.71</v>
      </c>
      <c r="O61" s="304">
        <v>-112180.3</v>
      </c>
    </row>
    <row r="62" spans="2:15" hidden="1"/>
    <row r="63" spans="2:15" hidden="1"/>
    <row r="64" spans="2:15" ht="13.5" hidden="1" thickBot="1"/>
    <row r="65" spans="2:15" hidden="1">
      <c r="B65" s="244" t="s">
        <v>441</v>
      </c>
      <c r="C65" s="245" t="s">
        <v>371</v>
      </c>
      <c r="D65" s="245" t="s">
        <v>370</v>
      </c>
      <c r="E65" s="245" t="s">
        <v>372</v>
      </c>
      <c r="F65" s="245" t="s">
        <v>373</v>
      </c>
      <c r="G65" s="245" t="s">
        <v>374</v>
      </c>
      <c r="H65" s="245" t="s">
        <v>375</v>
      </c>
      <c r="I65" s="245" t="s">
        <v>376</v>
      </c>
      <c r="J65" s="245" t="s">
        <v>377</v>
      </c>
      <c r="K65" s="245" t="s">
        <v>378</v>
      </c>
      <c r="L65" s="245" t="s">
        <v>379</v>
      </c>
      <c r="M65" s="245" t="s">
        <v>380</v>
      </c>
      <c r="N65" s="245" t="s">
        <v>381</v>
      </c>
      <c r="O65" s="246" t="s">
        <v>2</v>
      </c>
    </row>
    <row r="66" spans="2:15" hidden="1">
      <c r="B66" s="247" t="s">
        <v>137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6"/>
    </row>
    <row r="67" spans="2:15" hidden="1">
      <c r="B67" s="248" t="s">
        <v>294</v>
      </c>
      <c r="C67" s="2">
        <v>0</v>
      </c>
      <c r="D67" s="2">
        <v>0</v>
      </c>
      <c r="E67" s="2">
        <f>6*55.36</f>
        <v>332.15999999999997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f>10*41.92</f>
        <v>419.20000000000005</v>
      </c>
      <c r="L67" s="2">
        <v>0</v>
      </c>
      <c r="M67" s="2">
        <v>0</v>
      </c>
      <c r="N67" s="2">
        <v>0</v>
      </c>
      <c r="O67" s="36">
        <v>773.38225551290998</v>
      </c>
    </row>
    <row r="68" spans="2:15" hidden="1">
      <c r="B68" s="248" t="s">
        <v>368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36">
        <f>SUM(C68:N68)</f>
        <v>0</v>
      </c>
    </row>
    <row r="69" spans="2:15" hidden="1">
      <c r="B69" s="248" t="s">
        <v>153</v>
      </c>
      <c r="C69" s="2">
        <f>SUM(C67:C68)</f>
        <v>0</v>
      </c>
      <c r="D69" s="2">
        <f t="shared" ref="D69:O69" si="18">SUM(D67:D68)</f>
        <v>0</v>
      </c>
      <c r="E69" s="2">
        <f t="shared" si="18"/>
        <v>332.15999999999997</v>
      </c>
      <c r="F69" s="2">
        <f t="shared" si="18"/>
        <v>0</v>
      </c>
      <c r="G69" s="2">
        <f t="shared" si="18"/>
        <v>0</v>
      </c>
      <c r="H69" s="2">
        <f t="shared" si="18"/>
        <v>0</v>
      </c>
      <c r="I69" s="2">
        <f t="shared" si="18"/>
        <v>0</v>
      </c>
      <c r="J69" s="2">
        <f t="shared" si="18"/>
        <v>0</v>
      </c>
      <c r="K69" s="2">
        <f t="shared" si="18"/>
        <v>419.20000000000005</v>
      </c>
      <c r="L69" s="2">
        <f t="shared" si="18"/>
        <v>0</v>
      </c>
      <c r="M69" s="2">
        <f t="shared" si="18"/>
        <v>0</v>
      </c>
      <c r="N69" s="2">
        <f t="shared" si="18"/>
        <v>0</v>
      </c>
      <c r="O69" s="36">
        <f t="shared" si="18"/>
        <v>773.38225551290998</v>
      </c>
    </row>
    <row r="70" spans="2:15" hidden="1">
      <c r="B70" s="24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6"/>
    </row>
    <row r="71" spans="2:15" hidden="1">
      <c r="B71" s="248" t="s">
        <v>154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6"/>
    </row>
    <row r="72" spans="2:15" hidden="1">
      <c r="B72" s="248" t="s">
        <v>295</v>
      </c>
      <c r="C72" s="2">
        <v>50</v>
      </c>
      <c r="D72" s="2">
        <v>50</v>
      </c>
      <c r="E72" s="2">
        <v>50</v>
      </c>
      <c r="F72" s="2">
        <v>50</v>
      </c>
      <c r="G72" s="2">
        <v>50</v>
      </c>
      <c r="H72" s="2">
        <v>50</v>
      </c>
      <c r="I72" s="2">
        <v>50</v>
      </c>
      <c r="J72" s="2">
        <v>50</v>
      </c>
      <c r="K72" s="2">
        <v>50</v>
      </c>
      <c r="L72" s="2">
        <v>50</v>
      </c>
      <c r="M72" s="2">
        <v>50</v>
      </c>
      <c r="N72" s="2">
        <v>85</v>
      </c>
      <c r="O72" s="36">
        <v>635</v>
      </c>
    </row>
    <row r="73" spans="2:15" hidden="1">
      <c r="B73" s="248" t="s">
        <v>296</v>
      </c>
      <c r="C73" s="2">
        <v>10</v>
      </c>
      <c r="D73" s="2">
        <v>10</v>
      </c>
      <c r="E73" s="2">
        <v>10</v>
      </c>
      <c r="F73" s="2">
        <v>10</v>
      </c>
      <c r="G73" s="2">
        <v>10</v>
      </c>
      <c r="H73" s="2">
        <v>10</v>
      </c>
      <c r="I73" s="2">
        <v>10</v>
      </c>
      <c r="J73" s="2">
        <v>10</v>
      </c>
      <c r="K73" s="2">
        <v>40</v>
      </c>
      <c r="L73" s="2">
        <v>10</v>
      </c>
      <c r="M73" s="2">
        <v>10</v>
      </c>
      <c r="N73" s="2">
        <v>10</v>
      </c>
      <c r="O73" s="36">
        <v>150</v>
      </c>
    </row>
    <row r="74" spans="2:15" hidden="1">
      <c r="B74" s="248" t="s">
        <v>297</v>
      </c>
      <c r="C74" s="2">
        <v>5</v>
      </c>
      <c r="D74" s="2">
        <v>5</v>
      </c>
      <c r="E74" s="2">
        <v>20</v>
      </c>
      <c r="F74" s="2">
        <v>5</v>
      </c>
      <c r="G74" s="2">
        <v>5</v>
      </c>
      <c r="H74" s="2">
        <v>5</v>
      </c>
      <c r="I74" s="2">
        <v>5</v>
      </c>
      <c r="J74" s="2">
        <v>5</v>
      </c>
      <c r="K74" s="2">
        <v>5</v>
      </c>
      <c r="L74" s="2">
        <v>5</v>
      </c>
      <c r="M74" s="2">
        <v>5</v>
      </c>
      <c r="N74" s="2">
        <v>25</v>
      </c>
      <c r="O74" s="36">
        <v>95</v>
      </c>
    </row>
    <row r="75" spans="2:15" hidden="1">
      <c r="B75" s="248" t="s">
        <v>298</v>
      </c>
      <c r="C75" s="2">
        <v>5</v>
      </c>
      <c r="D75" s="2">
        <v>5</v>
      </c>
      <c r="E75" s="2">
        <v>5</v>
      </c>
      <c r="F75" s="2">
        <v>5</v>
      </c>
      <c r="G75" s="2">
        <v>5</v>
      </c>
      <c r="H75" s="2">
        <v>5</v>
      </c>
      <c r="I75" s="2">
        <v>5</v>
      </c>
      <c r="J75" s="2">
        <v>5</v>
      </c>
      <c r="K75" s="2">
        <v>5</v>
      </c>
      <c r="L75" s="2">
        <v>5</v>
      </c>
      <c r="M75" s="2">
        <v>5</v>
      </c>
      <c r="N75" s="2">
        <v>5</v>
      </c>
      <c r="O75" s="36">
        <v>60</v>
      </c>
    </row>
    <row r="76" spans="2:15" hidden="1">
      <c r="B76" s="248" t="s">
        <v>58</v>
      </c>
      <c r="C76" s="2">
        <v>15</v>
      </c>
      <c r="D76" s="2">
        <v>15</v>
      </c>
      <c r="E76" s="2">
        <v>15</v>
      </c>
      <c r="F76" s="2">
        <v>15</v>
      </c>
      <c r="G76" s="2">
        <v>10</v>
      </c>
      <c r="H76" s="2">
        <v>15</v>
      </c>
      <c r="I76" s="2">
        <v>15</v>
      </c>
      <c r="J76" s="2">
        <v>15</v>
      </c>
      <c r="K76" s="2">
        <v>15</v>
      </c>
      <c r="L76" s="2">
        <v>15</v>
      </c>
      <c r="M76" s="2">
        <v>10</v>
      </c>
      <c r="N76" s="2">
        <v>20</v>
      </c>
      <c r="O76" s="36">
        <v>175</v>
      </c>
    </row>
    <row r="77" spans="2:15" hidden="1">
      <c r="B77" s="248" t="s">
        <v>352</v>
      </c>
      <c r="C77" s="2">
        <v>85</v>
      </c>
      <c r="D77" s="2">
        <v>85</v>
      </c>
      <c r="E77" s="2">
        <v>100</v>
      </c>
      <c r="F77" s="2">
        <v>85</v>
      </c>
      <c r="G77" s="2">
        <v>80</v>
      </c>
      <c r="H77" s="2">
        <v>85</v>
      </c>
      <c r="I77" s="2">
        <v>85</v>
      </c>
      <c r="J77" s="2">
        <v>85</v>
      </c>
      <c r="K77" s="2">
        <v>115</v>
      </c>
      <c r="L77" s="2">
        <v>85</v>
      </c>
      <c r="M77" s="2">
        <v>80</v>
      </c>
      <c r="N77" s="2">
        <v>145</v>
      </c>
      <c r="O77" s="36">
        <v>1115</v>
      </c>
    </row>
    <row r="78" spans="2:15" hidden="1">
      <c r="B78" s="24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6"/>
    </row>
    <row r="79" spans="2:15" hidden="1">
      <c r="B79" s="249" t="s">
        <v>438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6">
        <v>0</v>
      </c>
    </row>
    <row r="80" spans="2:15" hidden="1">
      <c r="B80" s="248" t="s">
        <v>356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36">
        <v>0</v>
      </c>
    </row>
    <row r="81" spans="2:15" hidden="1">
      <c r="B81" s="248" t="s">
        <v>329</v>
      </c>
      <c r="C81" s="2">
        <v>0</v>
      </c>
      <c r="D81" s="2">
        <v>0</v>
      </c>
      <c r="E81" s="2">
        <v>0</v>
      </c>
      <c r="F81" s="2">
        <v>14.862205163991627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9.5020655966503842</v>
      </c>
      <c r="M81" s="2">
        <v>0</v>
      </c>
      <c r="N81" s="2">
        <v>0</v>
      </c>
      <c r="O81" s="36">
        <v>24.364270760642011</v>
      </c>
    </row>
    <row r="82" spans="2:15" hidden="1">
      <c r="B82" s="248" t="s">
        <v>330</v>
      </c>
      <c r="C82" s="2">
        <v>0</v>
      </c>
      <c r="D82" s="2">
        <v>0</v>
      </c>
      <c r="E82" s="2">
        <v>0</v>
      </c>
      <c r="F82" s="2">
        <v>33.957886950453599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21.710780181437542</v>
      </c>
      <c r="M82" s="2">
        <v>0</v>
      </c>
      <c r="N82" s="2">
        <v>0</v>
      </c>
      <c r="O82" s="36">
        <v>55.668667131891141</v>
      </c>
    </row>
    <row r="83" spans="2:15" hidden="1">
      <c r="B83" s="248" t="s">
        <v>357</v>
      </c>
      <c r="C83" s="2">
        <v>0</v>
      </c>
      <c r="D83" s="2">
        <v>0</v>
      </c>
      <c r="E83" s="2">
        <v>0</v>
      </c>
      <c r="F83" s="2">
        <v>17.38427634333566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11.114537334263783</v>
      </c>
      <c r="M83" s="2">
        <v>0</v>
      </c>
      <c r="N83" s="2">
        <v>0</v>
      </c>
      <c r="O83" s="36">
        <v>28.498813677599443</v>
      </c>
    </row>
    <row r="84" spans="2:15" hidden="1">
      <c r="B84" s="248" t="s">
        <v>365</v>
      </c>
      <c r="C84" s="2">
        <v>0</v>
      </c>
      <c r="D84" s="2">
        <v>0</v>
      </c>
      <c r="E84" s="2">
        <v>0</v>
      </c>
      <c r="F84" s="2">
        <v>25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25</v>
      </c>
      <c r="M84" s="2">
        <v>0</v>
      </c>
      <c r="N84" s="2">
        <v>0</v>
      </c>
      <c r="O84" s="36">
        <v>50</v>
      </c>
    </row>
    <row r="85" spans="2:15" hidden="1">
      <c r="B85" s="248" t="s">
        <v>361</v>
      </c>
      <c r="C85" s="2">
        <f>SUM(C80:C83)</f>
        <v>0</v>
      </c>
      <c r="D85" s="2">
        <f t="shared" ref="D85:N85" si="19">SUM(D80:D83)</f>
        <v>0</v>
      </c>
      <c r="E85" s="2">
        <f t="shared" si="19"/>
        <v>0</v>
      </c>
      <c r="F85" s="2">
        <f>SUM(F80:F84)</f>
        <v>91.204368457780888</v>
      </c>
      <c r="G85" s="2">
        <f t="shared" si="19"/>
        <v>0</v>
      </c>
      <c r="H85" s="2">
        <f t="shared" si="19"/>
        <v>0</v>
      </c>
      <c r="I85" s="2">
        <f t="shared" si="19"/>
        <v>0</v>
      </c>
      <c r="J85" s="2">
        <f t="shared" si="19"/>
        <v>0</v>
      </c>
      <c r="K85" s="2">
        <f t="shared" si="19"/>
        <v>0</v>
      </c>
      <c r="L85" s="2">
        <f>SUM(L80:L84)</f>
        <v>67.327383112351711</v>
      </c>
      <c r="M85" s="2">
        <f t="shared" si="19"/>
        <v>0</v>
      </c>
      <c r="N85" s="2">
        <f t="shared" si="19"/>
        <v>0</v>
      </c>
      <c r="O85" s="36">
        <f>SUM(O81:O84)</f>
        <v>158.5317515701326</v>
      </c>
    </row>
    <row r="86" spans="2:15" hidden="1">
      <c r="B86" s="24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6"/>
    </row>
    <row r="87" spans="2:15" hidden="1">
      <c r="B87" s="249" t="s">
        <v>439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6">
        <v>0</v>
      </c>
    </row>
    <row r="88" spans="2:15" hidden="1">
      <c r="B88" s="248" t="s">
        <v>356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36">
        <v>0</v>
      </c>
    </row>
    <row r="89" spans="2:15" hidden="1">
      <c r="B89" s="248" t="s">
        <v>360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36">
        <v>0</v>
      </c>
    </row>
    <row r="90" spans="2:15" hidden="1">
      <c r="B90" s="248" t="s">
        <v>369</v>
      </c>
      <c r="C90" s="2">
        <v>0</v>
      </c>
      <c r="D90" s="2">
        <v>0</v>
      </c>
      <c r="E90" s="2">
        <v>15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15</v>
      </c>
      <c r="L90" s="2">
        <v>0</v>
      </c>
      <c r="M90" s="2">
        <v>0</v>
      </c>
      <c r="N90" s="2">
        <v>0</v>
      </c>
      <c r="O90" s="36">
        <v>30</v>
      </c>
    </row>
    <row r="91" spans="2:15" hidden="1">
      <c r="B91" s="248" t="s">
        <v>362</v>
      </c>
      <c r="C91" s="2">
        <f>SUM(C88:C90)</f>
        <v>0</v>
      </c>
      <c r="D91" s="2">
        <f t="shared" ref="D91:O91" si="20">SUM(D88:D90)</f>
        <v>0</v>
      </c>
      <c r="E91" s="2">
        <f t="shared" si="20"/>
        <v>15</v>
      </c>
      <c r="F91" s="2">
        <f t="shared" si="20"/>
        <v>0</v>
      </c>
      <c r="G91" s="2">
        <f t="shared" si="20"/>
        <v>0</v>
      </c>
      <c r="H91" s="2">
        <f t="shared" si="20"/>
        <v>0</v>
      </c>
      <c r="I91" s="2">
        <f t="shared" si="20"/>
        <v>0</v>
      </c>
      <c r="J91" s="2">
        <f t="shared" si="20"/>
        <v>0</v>
      </c>
      <c r="K91" s="2">
        <f t="shared" si="20"/>
        <v>15</v>
      </c>
      <c r="L91" s="2">
        <f t="shared" si="20"/>
        <v>0</v>
      </c>
      <c r="M91" s="2">
        <f t="shared" si="20"/>
        <v>0</v>
      </c>
      <c r="N91" s="2">
        <f t="shared" si="20"/>
        <v>0</v>
      </c>
      <c r="O91" s="36">
        <f t="shared" si="20"/>
        <v>30</v>
      </c>
    </row>
    <row r="92" spans="2:15" hidden="1">
      <c r="B92" s="24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6"/>
    </row>
    <row r="93" spans="2:15" hidden="1">
      <c r="B93" s="250" t="s">
        <v>138</v>
      </c>
      <c r="C93" s="2">
        <f>+C77+C85+C91</f>
        <v>85</v>
      </c>
      <c r="D93" s="2">
        <f t="shared" ref="D93:O93" si="21">+D77+D85+D91</f>
        <v>85</v>
      </c>
      <c r="E93" s="2">
        <f t="shared" si="21"/>
        <v>115</v>
      </c>
      <c r="F93" s="2">
        <f t="shared" si="21"/>
        <v>176.2043684577809</v>
      </c>
      <c r="G93" s="2">
        <f t="shared" si="21"/>
        <v>80</v>
      </c>
      <c r="H93" s="2">
        <f t="shared" si="21"/>
        <v>85</v>
      </c>
      <c r="I93" s="2">
        <f t="shared" si="21"/>
        <v>85</v>
      </c>
      <c r="J93" s="2">
        <f t="shared" si="21"/>
        <v>85</v>
      </c>
      <c r="K93" s="2">
        <f t="shared" si="21"/>
        <v>130</v>
      </c>
      <c r="L93" s="2">
        <f t="shared" si="21"/>
        <v>152.3273831123517</v>
      </c>
      <c r="M93" s="2">
        <f t="shared" si="21"/>
        <v>80</v>
      </c>
      <c r="N93" s="2">
        <f t="shared" si="21"/>
        <v>145</v>
      </c>
      <c r="O93" s="36">
        <f t="shared" si="21"/>
        <v>1303.5317515701327</v>
      </c>
    </row>
    <row r="94" spans="2:15" hidden="1">
      <c r="B94" s="250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6"/>
    </row>
    <row r="95" spans="2:15" hidden="1">
      <c r="B95" s="250" t="s">
        <v>355</v>
      </c>
      <c r="C95" s="2">
        <f>+C69-C93</f>
        <v>-85</v>
      </c>
      <c r="D95" s="2">
        <f t="shared" ref="D95:O95" si="22">+D69-D93</f>
        <v>-85</v>
      </c>
      <c r="E95" s="2">
        <f t="shared" si="22"/>
        <v>217.15999999999997</v>
      </c>
      <c r="F95" s="2">
        <f t="shared" si="22"/>
        <v>-176.2043684577809</v>
      </c>
      <c r="G95" s="2">
        <f t="shared" si="22"/>
        <v>-80</v>
      </c>
      <c r="H95" s="2">
        <f t="shared" si="22"/>
        <v>-85</v>
      </c>
      <c r="I95" s="2">
        <f t="shared" si="22"/>
        <v>-85</v>
      </c>
      <c r="J95" s="2">
        <f t="shared" si="22"/>
        <v>-85</v>
      </c>
      <c r="K95" s="2">
        <f t="shared" si="22"/>
        <v>289.20000000000005</v>
      </c>
      <c r="L95" s="2">
        <f t="shared" si="22"/>
        <v>-152.3273831123517</v>
      </c>
      <c r="M95" s="2">
        <f t="shared" si="22"/>
        <v>-80</v>
      </c>
      <c r="N95" s="2">
        <f t="shared" si="22"/>
        <v>-145</v>
      </c>
      <c r="O95" s="36">
        <f t="shared" si="22"/>
        <v>-530.14949605722268</v>
      </c>
    </row>
    <row r="96" spans="2:15" ht="13.5" hidden="1" thickBot="1">
      <c r="B96" s="251" t="s">
        <v>364</v>
      </c>
      <c r="C96" s="150">
        <f>+C95</f>
        <v>-85</v>
      </c>
      <c r="D96" s="150">
        <f>+C96+D95</f>
        <v>-170</v>
      </c>
      <c r="E96" s="150">
        <f>+D96+E95</f>
        <v>47.159999999999968</v>
      </c>
      <c r="F96" s="150">
        <f t="shared" ref="F96:O96" si="23">+E96+F95</f>
        <v>-129.04436845778093</v>
      </c>
      <c r="G96" s="150">
        <f t="shared" si="23"/>
        <v>-209.04436845778093</v>
      </c>
      <c r="H96" s="150">
        <f t="shared" si="23"/>
        <v>-294.04436845778093</v>
      </c>
      <c r="I96" s="150">
        <f t="shared" si="23"/>
        <v>-379.04436845778093</v>
      </c>
      <c r="J96" s="150">
        <f t="shared" si="23"/>
        <v>-464.04436845778093</v>
      </c>
      <c r="K96" s="150">
        <f t="shared" si="23"/>
        <v>-174.84436845778089</v>
      </c>
      <c r="L96" s="150">
        <f t="shared" si="23"/>
        <v>-327.17175157013259</v>
      </c>
      <c r="M96" s="150">
        <f t="shared" si="23"/>
        <v>-407.17175157013259</v>
      </c>
      <c r="N96" s="150">
        <f t="shared" si="23"/>
        <v>-552.17175157013253</v>
      </c>
      <c r="O96" s="150">
        <f t="shared" si="23"/>
        <v>-1082.3212476273552</v>
      </c>
    </row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2:19" hidden="1"/>
    <row r="162" spans="2:19" hidden="1"/>
    <row r="163" spans="2:19" hidden="1"/>
    <row r="165" spans="2:19">
      <c r="B165" s="96" t="s">
        <v>721</v>
      </c>
    </row>
    <row r="167" spans="2:19">
      <c r="B167" s="28" t="s">
        <v>725</v>
      </c>
      <c r="F167" s="37">
        <f>+F35</f>
        <v>-20104.535000759999</v>
      </c>
    </row>
    <row r="169" spans="2:19" ht="21" thickBot="1">
      <c r="C169" s="675" t="s">
        <v>724</v>
      </c>
      <c r="D169" s="675"/>
      <c r="E169" s="675"/>
      <c r="F169" s="675"/>
      <c r="G169" s="675"/>
      <c r="H169" s="675"/>
      <c r="I169" s="675"/>
      <c r="J169" s="675"/>
      <c r="K169" s="675"/>
      <c r="L169" s="675"/>
      <c r="M169" s="675"/>
      <c r="N169" s="675"/>
      <c r="O169" s="675"/>
      <c r="P169" s="675"/>
    </row>
    <row r="170" spans="2:19" ht="13.5" thickBot="1">
      <c r="B170" s="312"/>
      <c r="C170" s="318" t="s">
        <v>371</v>
      </c>
      <c r="D170" s="318" t="s">
        <v>370</v>
      </c>
      <c r="E170" s="318" t="s">
        <v>372</v>
      </c>
      <c r="F170" s="318" t="s">
        <v>373</v>
      </c>
      <c r="G170" s="318" t="s">
        <v>374</v>
      </c>
      <c r="H170" s="318" t="s">
        <v>375</v>
      </c>
      <c r="I170" s="318" t="s">
        <v>376</v>
      </c>
      <c r="J170" s="318" t="s">
        <v>377</v>
      </c>
      <c r="K170" s="318" t="s">
        <v>378</v>
      </c>
      <c r="L170" s="318" t="s">
        <v>379</v>
      </c>
      <c r="M170" s="318" t="s">
        <v>380</v>
      </c>
      <c r="N170" s="318" t="s">
        <v>381</v>
      </c>
      <c r="O170" s="319" t="s">
        <v>1</v>
      </c>
    </row>
    <row r="171" spans="2:19" ht="39" thickBot="1">
      <c r="B171" s="320" t="s">
        <v>152</v>
      </c>
      <c r="C171" s="321"/>
      <c r="D171" s="321"/>
      <c r="E171" s="321"/>
      <c r="F171" s="321"/>
      <c r="G171" s="321"/>
      <c r="H171" s="321"/>
      <c r="I171" s="321"/>
      <c r="J171" s="321"/>
      <c r="K171" s="321"/>
      <c r="L171" s="321"/>
      <c r="M171" s="321"/>
      <c r="N171" s="321"/>
      <c r="O171" s="321"/>
      <c r="Q171" s="313" t="s">
        <v>136</v>
      </c>
      <c r="R171" s="314" t="s">
        <v>383</v>
      </c>
      <c r="S171" s="314" t="s">
        <v>176</v>
      </c>
    </row>
    <row r="172" spans="2:19" ht="13.5" thickBot="1">
      <c r="B172" s="312"/>
      <c r="C172" s="321"/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  <c r="O172" s="321"/>
      <c r="Q172" s="98" t="s">
        <v>517</v>
      </c>
      <c r="R172" s="330">
        <f>+SUELDOS!B178</f>
        <v>0</v>
      </c>
      <c r="S172" s="330">
        <f>+R172/12</f>
        <v>0</v>
      </c>
    </row>
    <row r="173" spans="2:19" ht="13.5" thickBot="1">
      <c r="B173" s="322" t="s">
        <v>137</v>
      </c>
      <c r="C173" s="321"/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  <c r="O173" s="321"/>
      <c r="Q173" s="98" t="s">
        <v>518</v>
      </c>
      <c r="R173" s="330">
        <v>252</v>
      </c>
      <c r="S173" s="330">
        <f t="shared" ref="S173:S177" si="24">+R173/12</f>
        <v>21</v>
      </c>
    </row>
    <row r="174" spans="2:19" ht="13.5" thickBot="1">
      <c r="B174" s="313" t="s">
        <v>393</v>
      </c>
      <c r="C174" s="321"/>
      <c r="D174" s="321"/>
      <c r="E174" s="321"/>
      <c r="F174" s="321"/>
      <c r="G174" s="321"/>
      <c r="H174" s="321"/>
      <c r="I174" s="321"/>
      <c r="J174" s="321"/>
      <c r="K174" s="321"/>
      <c r="L174" s="321"/>
      <c r="M174" s="321"/>
      <c r="N174" s="321"/>
      <c r="O174" s="321">
        <f>SUM(C174:N174)</f>
        <v>0</v>
      </c>
      <c r="Q174" s="315" t="s">
        <v>59</v>
      </c>
      <c r="R174" s="331">
        <v>240</v>
      </c>
      <c r="S174" s="330">
        <f t="shared" si="24"/>
        <v>20</v>
      </c>
    </row>
    <row r="175" spans="2:19" ht="13.5" thickBot="1">
      <c r="B175" s="313" t="s">
        <v>515</v>
      </c>
      <c r="C175" s="321"/>
      <c r="D175" s="321"/>
      <c r="E175" s="323"/>
      <c r="F175" s="323">
        <f>-F167</f>
        <v>20104.535000759999</v>
      </c>
      <c r="G175" s="321"/>
      <c r="H175" s="321"/>
      <c r="I175" s="321"/>
      <c r="J175" s="321"/>
      <c r="K175" s="321"/>
      <c r="L175" s="321"/>
      <c r="M175" s="321"/>
      <c r="N175" s="321"/>
      <c r="O175" s="321">
        <f>SUM(C175:N175)</f>
        <v>20104.535000759999</v>
      </c>
      <c r="Q175" s="98" t="s">
        <v>177</v>
      </c>
      <c r="R175" s="330">
        <v>240</v>
      </c>
      <c r="S175" s="330">
        <f t="shared" si="24"/>
        <v>20</v>
      </c>
    </row>
    <row r="176" spans="2:19" ht="26.25" thickBot="1">
      <c r="B176" s="320" t="s">
        <v>390</v>
      </c>
      <c r="C176" s="321"/>
      <c r="D176" s="321"/>
      <c r="E176" s="321"/>
      <c r="F176" s="321">
        <f>+E31*D5</f>
        <v>47.79</v>
      </c>
      <c r="G176" s="323">
        <f>($E$31+$F$31)*$D$5</f>
        <v>338.36710501025999</v>
      </c>
      <c r="H176" s="323">
        <f t="shared" ref="H176:L176" si="25">($E$31+$F$31)*$D$5</f>
        <v>338.36710501025999</v>
      </c>
      <c r="I176" s="323">
        <f t="shared" si="25"/>
        <v>338.36710501025999</v>
      </c>
      <c r="J176" s="323">
        <f t="shared" si="25"/>
        <v>338.36710501025999</v>
      </c>
      <c r="K176" s="323">
        <f>($E$31+$F$31)*$D$5</f>
        <v>338.36710501025999</v>
      </c>
      <c r="L176" s="323">
        <f t="shared" si="25"/>
        <v>338.36710501025999</v>
      </c>
      <c r="M176" s="323">
        <f>($K$31+$L$31)*$D$5</f>
        <v>262.29500999567995</v>
      </c>
      <c r="N176" s="323">
        <f>($K$31+$L$31)*$D$5</f>
        <v>262.29500999567995</v>
      </c>
      <c r="O176" s="323">
        <f>SUM(C176:N176)</f>
        <v>2602.5826500529201</v>
      </c>
      <c r="Q176" s="315" t="s">
        <v>519</v>
      </c>
      <c r="R176" s="331">
        <f>SUM(R172:R175)</f>
        <v>732</v>
      </c>
      <c r="S176" s="330">
        <f t="shared" si="24"/>
        <v>61</v>
      </c>
    </row>
    <row r="177" spans="2:19" ht="26.25" thickBot="1">
      <c r="B177" s="320" t="s">
        <v>392</v>
      </c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3">
        <f t="shared" ref="O177:O178" si="26">SUM(C177:N177)</f>
        <v>0</v>
      </c>
      <c r="Q177" s="315" t="s">
        <v>521</v>
      </c>
      <c r="R177" s="331">
        <f>+R176*5%</f>
        <v>36.6</v>
      </c>
      <c r="S177" s="330">
        <f t="shared" si="24"/>
        <v>3.0500000000000003</v>
      </c>
    </row>
    <row r="178" spans="2:19" ht="26.25" thickBot="1">
      <c r="B178" s="320" t="s">
        <v>505</v>
      </c>
      <c r="C178" s="321"/>
      <c r="D178" s="321"/>
      <c r="E178" s="323">
        <v>0</v>
      </c>
      <c r="F178" s="321"/>
      <c r="G178" s="321"/>
      <c r="H178" s="321"/>
      <c r="I178" s="321"/>
      <c r="J178" s="321"/>
      <c r="K178" s="323">
        <v>0</v>
      </c>
      <c r="L178" s="321"/>
      <c r="M178" s="321"/>
      <c r="N178" s="321"/>
      <c r="O178" s="323">
        <f t="shared" si="26"/>
        <v>0</v>
      </c>
      <c r="Q178" s="316" t="s">
        <v>523</v>
      </c>
      <c r="R178" s="332">
        <f>+R176+R177</f>
        <v>768.6</v>
      </c>
      <c r="S178" s="332">
        <f>+R178/12</f>
        <v>64.05</v>
      </c>
    </row>
    <row r="179" spans="2:19" ht="15.75" thickBot="1">
      <c r="B179" s="320" t="s">
        <v>513</v>
      </c>
      <c r="C179" s="321"/>
      <c r="D179" s="321"/>
      <c r="E179" s="321">
        <f>+$C$4*$C$2</f>
        <v>1180</v>
      </c>
      <c r="F179" s="321">
        <f t="shared" ref="F179:N179" si="27">+$C$4*$C$2</f>
        <v>1180</v>
      </c>
      <c r="G179" s="321">
        <f t="shared" si="27"/>
        <v>1180</v>
      </c>
      <c r="H179" s="321">
        <f t="shared" si="27"/>
        <v>1180</v>
      </c>
      <c r="I179" s="321">
        <f t="shared" si="27"/>
        <v>1180</v>
      </c>
      <c r="J179" s="321">
        <f t="shared" si="27"/>
        <v>1180</v>
      </c>
      <c r="K179" s="321">
        <f t="shared" si="27"/>
        <v>1180</v>
      </c>
      <c r="L179" s="321">
        <f t="shared" si="27"/>
        <v>1180</v>
      </c>
      <c r="M179" s="321">
        <f t="shared" si="27"/>
        <v>1180</v>
      </c>
      <c r="N179" s="321">
        <f t="shared" si="27"/>
        <v>1180</v>
      </c>
      <c r="O179" s="323">
        <f>SUM(E179:N179)</f>
        <v>11800</v>
      </c>
      <c r="P179" s="367">
        <f>+O179*0.5</f>
        <v>5900</v>
      </c>
      <c r="Q179" s="673" t="s">
        <v>524</v>
      </c>
      <c r="R179" s="673"/>
      <c r="S179" s="97"/>
    </row>
    <row r="180" spans="2:19" ht="13.5" thickBot="1">
      <c r="B180" s="320" t="s">
        <v>514</v>
      </c>
      <c r="C180" s="321"/>
      <c r="D180" s="321"/>
      <c r="E180" s="321">
        <f>+$C$2*$C$3</f>
        <v>3540</v>
      </c>
      <c r="F180" s="321"/>
      <c r="G180" s="321"/>
      <c r="H180" s="321"/>
      <c r="I180" s="321"/>
      <c r="J180" s="321"/>
      <c r="K180" s="321"/>
      <c r="L180" s="321"/>
      <c r="M180" s="321"/>
      <c r="N180" s="321"/>
      <c r="O180" s="323">
        <f>SUM(C180:N180)</f>
        <v>3540</v>
      </c>
    </row>
    <row r="181" spans="2:19" ht="13.5" thickBot="1">
      <c r="B181" s="320" t="s">
        <v>511</v>
      </c>
      <c r="C181" s="321">
        <f t="shared" ref="C181:J181" si="28">+C206</f>
        <v>0</v>
      </c>
      <c r="D181" s="321">
        <f t="shared" si="28"/>
        <v>0</v>
      </c>
      <c r="E181" s="321">
        <f t="shared" si="28"/>
        <v>0</v>
      </c>
      <c r="F181" s="321">
        <f t="shared" si="28"/>
        <v>0</v>
      </c>
      <c r="G181" s="321">
        <f t="shared" si="28"/>
        <v>0</v>
      </c>
      <c r="H181" s="321">
        <f t="shared" si="28"/>
        <v>0</v>
      </c>
      <c r="I181" s="321">
        <f t="shared" si="28"/>
        <v>0</v>
      </c>
      <c r="J181" s="321">
        <f t="shared" si="28"/>
        <v>0</v>
      </c>
      <c r="K181" s="323">
        <f>+E189</f>
        <v>3540</v>
      </c>
      <c r="L181" s="323">
        <f>+F189</f>
        <v>21524.230000759999</v>
      </c>
      <c r="M181" s="321">
        <f>+M206</f>
        <v>0</v>
      </c>
      <c r="N181" s="321">
        <f>+N206</f>
        <v>0</v>
      </c>
      <c r="O181" s="323">
        <f>SUM(C181:N181)</f>
        <v>25064.230000759999</v>
      </c>
    </row>
    <row r="182" spans="2:19" ht="13.5" thickBot="1">
      <c r="B182" s="320" t="s">
        <v>153</v>
      </c>
      <c r="C182" s="323">
        <f>SUM(C175:C181)</f>
        <v>0</v>
      </c>
      <c r="D182" s="323">
        <f t="shared" ref="D182" si="29">SUM(D175:D181)</f>
        <v>0</v>
      </c>
      <c r="E182" s="323">
        <f>SUM(E171:E181)</f>
        <v>4720</v>
      </c>
      <c r="F182" s="323">
        <f>SUM(F171:F181)</f>
        <v>21332.32500076</v>
      </c>
      <c r="G182" s="323">
        <f t="shared" ref="G182:N182" si="30">SUM(G171:G181)</f>
        <v>1518.36710501026</v>
      </c>
      <c r="H182" s="323">
        <f t="shared" si="30"/>
        <v>1518.36710501026</v>
      </c>
      <c r="I182" s="323">
        <f t="shared" si="30"/>
        <v>1518.36710501026</v>
      </c>
      <c r="J182" s="323">
        <f t="shared" si="30"/>
        <v>1518.36710501026</v>
      </c>
      <c r="K182" s="323">
        <f t="shared" si="30"/>
        <v>5058.3671050102603</v>
      </c>
      <c r="L182" s="323">
        <f t="shared" si="30"/>
        <v>23042.597105770259</v>
      </c>
      <c r="M182" s="323">
        <f t="shared" si="30"/>
        <v>1442.2950099956799</v>
      </c>
      <c r="N182" s="323">
        <f t="shared" si="30"/>
        <v>1442.2950099956799</v>
      </c>
      <c r="O182" s="323">
        <f>SUM(C182:N182)</f>
        <v>63111.347651572913</v>
      </c>
      <c r="Q182">
        <v>11800</v>
      </c>
      <c r="R182">
        <v>100</v>
      </c>
    </row>
    <row r="183" spans="2:19" ht="13.5" thickBot="1">
      <c r="B183" s="312"/>
      <c r="C183" s="324"/>
      <c r="D183" s="324"/>
      <c r="E183" s="324"/>
      <c r="F183" s="324"/>
      <c r="G183" s="324"/>
      <c r="H183" s="324"/>
      <c r="I183" s="324"/>
      <c r="J183" s="324"/>
      <c r="K183" s="324"/>
      <c r="L183" s="324"/>
      <c r="M183" s="324"/>
      <c r="N183" s="324"/>
      <c r="O183" s="323">
        <f t="shared" ref="O183:O184" si="31">SUM(C183:N183)</f>
        <v>0</v>
      </c>
      <c r="Q183">
        <v>2950</v>
      </c>
      <c r="R183" s="28" t="s">
        <v>139</v>
      </c>
    </row>
    <row r="184" spans="2:19" ht="13.5" thickBot="1">
      <c r="B184" s="322" t="s">
        <v>154</v>
      </c>
      <c r="C184" s="321"/>
      <c r="D184" s="321"/>
      <c r="E184" s="321"/>
      <c r="F184" s="321"/>
      <c r="G184" s="321"/>
      <c r="H184" s="321"/>
      <c r="I184" s="321"/>
      <c r="J184" s="321"/>
      <c r="K184" s="321"/>
      <c r="L184" s="321"/>
      <c r="M184" s="321"/>
      <c r="N184" s="321"/>
      <c r="O184" s="323">
        <f t="shared" si="31"/>
        <v>0</v>
      </c>
    </row>
    <row r="185" spans="2:19" ht="13.5" thickBot="1">
      <c r="B185" s="320" t="s">
        <v>389</v>
      </c>
      <c r="C185" s="325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3">
        <f>SUM(C185:N185)</f>
        <v>0</v>
      </c>
      <c r="Q185">
        <f>+Q183*R182</f>
        <v>295000</v>
      </c>
    </row>
    <row r="186" spans="2:19" ht="39" thickBot="1">
      <c r="B186" s="327" t="s">
        <v>510</v>
      </c>
      <c r="C186" s="325">
        <f t="shared" ref="C186:C187" si="32">SUM(C183)</f>
        <v>0</v>
      </c>
      <c r="D186" s="326"/>
      <c r="E186" s="326">
        <f>+$E$22*$D$7</f>
        <v>8.85</v>
      </c>
      <c r="F186" s="326">
        <f t="shared" ref="F186:N186" si="33">+$E$22*$D$7</f>
        <v>8.85</v>
      </c>
      <c r="G186" s="326">
        <f t="shared" si="33"/>
        <v>8.85</v>
      </c>
      <c r="H186" s="326">
        <f t="shared" si="33"/>
        <v>8.85</v>
      </c>
      <c r="I186" s="326">
        <f t="shared" si="33"/>
        <v>8.85</v>
      </c>
      <c r="J186" s="326">
        <f t="shared" si="33"/>
        <v>8.85</v>
      </c>
      <c r="K186" s="326">
        <f t="shared" si="33"/>
        <v>8.85</v>
      </c>
      <c r="L186" s="326">
        <f t="shared" si="33"/>
        <v>8.85</v>
      </c>
      <c r="M186" s="326">
        <f t="shared" si="33"/>
        <v>8.85</v>
      </c>
      <c r="N186" s="326">
        <f t="shared" si="33"/>
        <v>8.85</v>
      </c>
      <c r="O186" s="323">
        <f t="shared" ref="O186:O189" si="34">SUM(C186:N186)</f>
        <v>88.499999999999986</v>
      </c>
      <c r="Q186">
        <f>+Q185/Q182</f>
        <v>25</v>
      </c>
    </row>
    <row r="187" spans="2:19" ht="13.5" thickBot="1">
      <c r="B187" s="312" t="s">
        <v>509</v>
      </c>
      <c r="C187" s="325">
        <f t="shared" si="32"/>
        <v>0</v>
      </c>
      <c r="D187" s="326"/>
      <c r="E187" s="323">
        <f>+$E$21*$D$7</f>
        <v>2.95</v>
      </c>
      <c r="F187" s="323">
        <f t="shared" ref="F187:M187" si="35">+$E$21*$D$7</f>
        <v>2.95</v>
      </c>
      <c r="G187" s="323">
        <f t="shared" si="35"/>
        <v>2.95</v>
      </c>
      <c r="H187" s="323">
        <f t="shared" si="35"/>
        <v>2.95</v>
      </c>
      <c r="I187" s="323">
        <f t="shared" si="35"/>
        <v>2.95</v>
      </c>
      <c r="J187" s="323">
        <f t="shared" si="35"/>
        <v>2.95</v>
      </c>
      <c r="K187" s="323">
        <f t="shared" si="35"/>
        <v>2.95</v>
      </c>
      <c r="L187" s="323">
        <f t="shared" si="35"/>
        <v>2.95</v>
      </c>
      <c r="M187" s="323">
        <f t="shared" si="35"/>
        <v>2.95</v>
      </c>
      <c r="N187" s="323">
        <f>+$E$21*$D$7</f>
        <v>2.95</v>
      </c>
      <c r="O187" s="323">
        <f t="shared" si="34"/>
        <v>29.499999999999996</v>
      </c>
    </row>
    <row r="188" spans="2:19" ht="13.5" thickBot="1">
      <c r="B188" s="312" t="s">
        <v>516</v>
      </c>
      <c r="C188" s="325"/>
      <c r="D188" s="325"/>
      <c r="E188" s="325">
        <f t="shared" ref="E188:N188" si="36">+$S$21</f>
        <v>482.24749999999995</v>
      </c>
      <c r="F188" s="325">
        <f t="shared" si="36"/>
        <v>482.24749999999995</v>
      </c>
      <c r="G188" s="325">
        <f t="shared" si="36"/>
        <v>482.24749999999995</v>
      </c>
      <c r="H188" s="325">
        <f t="shared" si="36"/>
        <v>482.24749999999995</v>
      </c>
      <c r="I188" s="325">
        <f t="shared" si="36"/>
        <v>482.24749999999995</v>
      </c>
      <c r="J188" s="325">
        <f t="shared" si="36"/>
        <v>482.24749999999995</v>
      </c>
      <c r="K188" s="325">
        <f t="shared" si="36"/>
        <v>482.24749999999995</v>
      </c>
      <c r="L188" s="325">
        <f t="shared" si="36"/>
        <v>482.24749999999995</v>
      </c>
      <c r="M188" s="325">
        <f t="shared" si="36"/>
        <v>482.24749999999995</v>
      </c>
      <c r="N188" s="325">
        <f t="shared" si="36"/>
        <v>482.24749999999995</v>
      </c>
      <c r="O188" s="323">
        <f t="shared" si="34"/>
        <v>4822.4749999999985</v>
      </c>
    </row>
    <row r="189" spans="2:19" ht="13.5" thickBot="1">
      <c r="B189" s="102" t="s">
        <v>512</v>
      </c>
      <c r="C189" s="325">
        <f>SUM(C185)</f>
        <v>0</v>
      </c>
      <c r="D189" s="323"/>
      <c r="E189" s="328">
        <f>+G2</f>
        <v>3540</v>
      </c>
      <c r="F189" s="328">
        <f>+G3</f>
        <v>21524.230000759999</v>
      </c>
      <c r="G189" s="328"/>
      <c r="H189" s="328"/>
      <c r="I189" s="328"/>
      <c r="J189" s="328"/>
      <c r="K189" s="328">
        <f>+G4</f>
        <v>3540</v>
      </c>
      <c r="L189" s="328">
        <f>+G5</f>
        <v>15889.25999968</v>
      </c>
      <c r="M189" s="328"/>
      <c r="N189" s="328"/>
      <c r="O189" s="323">
        <f t="shared" si="34"/>
        <v>44493.490000439997</v>
      </c>
    </row>
    <row r="190" spans="2:19" ht="13.5" thickBot="1">
      <c r="B190" s="102" t="s">
        <v>525</v>
      </c>
      <c r="C190" s="325"/>
      <c r="D190" s="323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>
        <f>SUM(C190:N190)</f>
        <v>0</v>
      </c>
    </row>
    <row r="191" spans="2:19" ht="13.5" thickBot="1">
      <c r="B191" s="324" t="s">
        <v>444</v>
      </c>
      <c r="C191" s="329">
        <f>SUM(C189)</f>
        <v>0</v>
      </c>
      <c r="D191" s="329">
        <f t="shared" ref="D191" si="37">SUM(D189)</f>
        <v>0</v>
      </c>
      <c r="E191" s="329">
        <f>SUM(E186:E190)</f>
        <v>4034.0475000000001</v>
      </c>
      <c r="F191" s="329">
        <f>SUM(F186:F189)</f>
        <v>22018.277500759999</v>
      </c>
      <c r="G191" s="329">
        <f>SUM(G186:G189)</f>
        <v>494.04749999999996</v>
      </c>
      <c r="H191" s="329">
        <f>SUM(H186:H189)</f>
        <v>494.04749999999996</v>
      </c>
      <c r="I191" s="329">
        <f t="shared" ref="I191:K191" si="38">SUM(I186:I189)</f>
        <v>494.04749999999996</v>
      </c>
      <c r="J191" s="329">
        <f t="shared" si="38"/>
        <v>494.04749999999996</v>
      </c>
      <c r="K191" s="329">
        <f t="shared" si="38"/>
        <v>4034.0475000000001</v>
      </c>
      <c r="L191" s="329">
        <f>SUM(L186:L190)</f>
        <v>16383.307499680001</v>
      </c>
      <c r="M191" s="329">
        <f t="shared" ref="M191:N191" si="39">SUM(M186:M189)</f>
        <v>494.04749999999996</v>
      </c>
      <c r="N191" s="329">
        <f t="shared" si="39"/>
        <v>494.04749999999996</v>
      </c>
      <c r="O191" s="329">
        <f>SUM(O186:O190)</f>
        <v>49433.965000439995</v>
      </c>
    </row>
    <row r="192" spans="2:19" ht="13.5" thickBot="1">
      <c r="B192" s="324" t="s">
        <v>445</v>
      </c>
      <c r="C192" s="329">
        <f t="shared" ref="C192:D192" si="40">+C182-C191</f>
        <v>0</v>
      </c>
      <c r="D192" s="329">
        <f t="shared" si="40"/>
        <v>0</v>
      </c>
      <c r="E192" s="329">
        <f>+E182-E191</f>
        <v>685.95249999999987</v>
      </c>
      <c r="F192" s="329">
        <f>+F182-F191</f>
        <v>-685.95249999999942</v>
      </c>
      <c r="G192" s="329">
        <f>+G182-G191</f>
        <v>1024.3196050102601</v>
      </c>
      <c r="H192" s="329">
        <f t="shared" ref="H192:N192" si="41">+H182-H191</f>
        <v>1024.3196050102601</v>
      </c>
      <c r="I192" s="329">
        <f t="shared" si="41"/>
        <v>1024.3196050102601</v>
      </c>
      <c r="J192" s="329">
        <f t="shared" si="41"/>
        <v>1024.3196050102601</v>
      </c>
      <c r="K192" s="329">
        <f t="shared" si="41"/>
        <v>1024.3196050102601</v>
      </c>
      <c r="L192" s="329">
        <f t="shared" si="41"/>
        <v>6659.2896060902585</v>
      </c>
      <c r="M192" s="329">
        <f t="shared" si="41"/>
        <v>948.24750999568005</v>
      </c>
      <c r="N192" s="329">
        <f t="shared" si="41"/>
        <v>948.24750999568005</v>
      </c>
      <c r="O192" s="329">
        <f>+O182-O191</f>
        <v>13677.382651132917</v>
      </c>
    </row>
    <row r="193" spans="2:15" ht="13.5" thickBot="1">
      <c r="B193" s="324" t="s">
        <v>446</v>
      </c>
      <c r="C193" s="324">
        <v>0</v>
      </c>
      <c r="D193" s="329">
        <f>+C193+D192</f>
        <v>0</v>
      </c>
      <c r="E193" s="329">
        <f>+D193+E192</f>
        <v>685.95249999999987</v>
      </c>
      <c r="F193" s="631">
        <f>+E193+F192</f>
        <v>0</v>
      </c>
      <c r="G193" s="329">
        <f>+F193+G192</f>
        <v>1024.3196050102601</v>
      </c>
      <c r="H193" s="329">
        <f t="shared" ref="H193" si="42">+G193+H192</f>
        <v>2048.6392100205203</v>
      </c>
      <c r="I193" s="329">
        <f t="shared" ref="I193" si="43">+H193+I192</f>
        <v>3072.9588150307804</v>
      </c>
      <c r="J193" s="329">
        <f t="shared" ref="J193" si="44">+I193+J192</f>
        <v>4097.2784200410406</v>
      </c>
      <c r="K193" s="329">
        <f t="shared" ref="K193" si="45">+J193+K192</f>
        <v>5121.5980250513003</v>
      </c>
      <c r="L193" s="329">
        <f t="shared" ref="L193" si="46">+K193+L192</f>
        <v>11780.887631141559</v>
      </c>
      <c r="M193" s="329">
        <f t="shared" ref="M193" si="47">+L193+M192</f>
        <v>12729.135141137238</v>
      </c>
      <c r="N193" s="329">
        <f>+M193+N192</f>
        <v>13677.382651132917</v>
      </c>
      <c r="O193" s="323"/>
    </row>
  </sheetData>
  <mergeCells count="4">
    <mergeCell ref="Q179:R179"/>
    <mergeCell ref="A1:G1"/>
    <mergeCell ref="B10:O10"/>
    <mergeCell ref="C169:P169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1"/>
  <dimension ref="A3:C38"/>
  <sheetViews>
    <sheetView topLeftCell="A10" workbookViewId="0">
      <selection activeCell="F24" sqref="F24"/>
    </sheetView>
  </sheetViews>
  <sheetFormatPr baseColWidth="10" defaultRowHeight="12.75"/>
  <cols>
    <col min="1" max="1" width="20.5703125" bestFit="1" customWidth="1"/>
    <col min="2" max="2" width="27.140625" customWidth="1"/>
    <col min="3" max="3" width="4.7109375" customWidth="1"/>
  </cols>
  <sheetData>
    <row r="3" spans="1:3">
      <c r="A3" s="1"/>
      <c r="B3" s="143" t="s">
        <v>126</v>
      </c>
      <c r="C3" s="1"/>
    </row>
    <row r="4" spans="1:3">
      <c r="A4" s="143" t="s">
        <v>171</v>
      </c>
      <c r="B4" s="143" t="s">
        <v>170</v>
      </c>
      <c r="C4" s="1"/>
    </row>
    <row r="5" spans="1:3" ht="14.25">
      <c r="A5" s="143" t="s">
        <v>169</v>
      </c>
      <c r="B5" s="144">
        <f>2.68*2.94</f>
        <v>7.8792</v>
      </c>
      <c r="C5" s="143" t="s">
        <v>174</v>
      </c>
    </row>
    <row r="6" spans="1:3" ht="14.25">
      <c r="A6" s="143" t="s">
        <v>172</v>
      </c>
      <c r="B6" s="2">
        <f>2.68*3.53</f>
        <v>9.4603999999999999</v>
      </c>
      <c r="C6" s="143" t="s">
        <v>174</v>
      </c>
    </row>
    <row r="7" spans="1:3" ht="14.25">
      <c r="A7" s="143" t="s">
        <v>173</v>
      </c>
      <c r="B7" s="2">
        <f>2.93*2.68</f>
        <v>7.8524000000000012</v>
      </c>
      <c r="C7" s="143" t="s">
        <v>174</v>
      </c>
    </row>
    <row r="8" spans="1:3">
      <c r="A8" s="143" t="s">
        <v>175</v>
      </c>
      <c r="B8" s="144">
        <f>0.15*0.15</f>
        <v>2.2499999999999999E-2</v>
      </c>
      <c r="C8" s="1"/>
    </row>
    <row r="9" spans="1:3">
      <c r="B9" s="37"/>
    </row>
    <row r="10" spans="1:3">
      <c r="B10" s="37"/>
    </row>
    <row r="11" spans="1:3">
      <c r="B11" s="37"/>
    </row>
    <row r="12" spans="1:3">
      <c r="B12" s="37"/>
    </row>
    <row r="13" spans="1:3">
      <c r="B13" s="37"/>
    </row>
    <row r="14" spans="1:3">
      <c r="B14" s="37"/>
    </row>
    <row r="15" spans="1:3" ht="13.5" thickBot="1">
      <c r="B15" s="37"/>
    </row>
    <row r="16" spans="1:3">
      <c r="A16" s="108"/>
      <c r="B16" s="145"/>
    </row>
    <row r="17" spans="1:2">
      <c r="A17" s="146"/>
      <c r="B17" s="147"/>
    </row>
    <row r="18" spans="1:2">
      <c r="A18" s="146"/>
      <c r="B18" s="148"/>
    </row>
    <row r="19" spans="1:2">
      <c r="A19" s="146"/>
      <c r="B19" s="148"/>
    </row>
    <row r="20" spans="1:2">
      <c r="A20" s="146"/>
      <c r="B20" s="148"/>
    </row>
    <row r="21" spans="1:2">
      <c r="A21" s="146"/>
      <c r="B21" s="148"/>
    </row>
    <row r="22" spans="1:2">
      <c r="A22" s="146"/>
      <c r="B22" s="148"/>
    </row>
    <row r="23" spans="1:2">
      <c r="A23" s="146"/>
      <c r="B23" s="148"/>
    </row>
    <row r="24" spans="1:2">
      <c r="A24" s="146"/>
      <c r="B24" s="148"/>
    </row>
    <row r="25" spans="1:2">
      <c r="A25" s="146"/>
      <c r="B25" s="148"/>
    </row>
    <row r="26" spans="1:2">
      <c r="A26" s="146"/>
      <c r="B26" s="148"/>
    </row>
    <row r="27" spans="1:2">
      <c r="A27" s="146"/>
      <c r="B27" s="148"/>
    </row>
    <row r="28" spans="1:2">
      <c r="A28" s="146"/>
      <c r="B28" s="148"/>
    </row>
    <row r="29" spans="1:2">
      <c r="A29" s="146"/>
      <c r="B29" s="148"/>
    </row>
    <row r="30" spans="1:2">
      <c r="A30" s="146"/>
      <c r="B30" s="148"/>
    </row>
    <row r="31" spans="1:2">
      <c r="A31" s="146"/>
      <c r="B31" s="148"/>
    </row>
    <row r="32" spans="1:2">
      <c r="A32" s="146"/>
      <c r="B32" s="148"/>
    </row>
    <row r="33" spans="1:2">
      <c r="A33" s="146"/>
      <c r="B33" s="148"/>
    </row>
    <row r="34" spans="1:2">
      <c r="A34" s="146"/>
      <c r="B34" s="148"/>
    </row>
    <row r="35" spans="1:2">
      <c r="A35" s="146"/>
      <c r="B35" s="148"/>
    </row>
    <row r="36" spans="1:2">
      <c r="A36" s="146"/>
      <c r="B36" s="148"/>
    </row>
    <row r="37" spans="1:2">
      <c r="A37" s="146"/>
      <c r="B37" s="148"/>
    </row>
    <row r="38" spans="1:2" ht="13.5" thickBot="1">
      <c r="A38" s="109"/>
      <c r="B38" s="149"/>
    </row>
  </sheetData>
  <pageMargins left="0.7" right="0.7" top="0.75" bottom="0.75" header="0.3" footer="0.3"/>
  <legacyDrawing r:id="rId1"/>
  <oleObjects>
    <oleObject progId="Visio.Drawing.11" shapeId="1025" r:id="rId2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3"/>
  <dimension ref="A1:U66"/>
  <sheetViews>
    <sheetView topLeftCell="D1" workbookViewId="0">
      <selection sqref="A1:N36"/>
    </sheetView>
  </sheetViews>
  <sheetFormatPr baseColWidth="10" defaultRowHeight="12.75"/>
  <cols>
    <col min="1" max="1" width="28.28515625" bestFit="1" customWidth="1"/>
    <col min="6" max="6" width="18.140625" customWidth="1"/>
  </cols>
  <sheetData>
    <row r="1" spans="1:21" ht="15" thickBot="1">
      <c r="A1" s="110"/>
      <c r="B1" s="111" t="s">
        <v>140</v>
      </c>
      <c r="C1" s="111" t="s">
        <v>141</v>
      </c>
      <c r="D1" s="111" t="s">
        <v>142</v>
      </c>
      <c r="E1" s="111" t="s">
        <v>143</v>
      </c>
      <c r="F1" s="111" t="s">
        <v>144</v>
      </c>
      <c r="G1" s="111" t="s">
        <v>145</v>
      </c>
      <c r="H1" s="185" t="s">
        <v>146</v>
      </c>
      <c r="I1" s="187" t="s">
        <v>147</v>
      </c>
      <c r="J1" s="188" t="s">
        <v>148</v>
      </c>
      <c r="K1" s="186" t="s">
        <v>149</v>
      </c>
      <c r="L1" s="111" t="s">
        <v>150</v>
      </c>
      <c r="M1" s="111" t="s">
        <v>151</v>
      </c>
      <c r="N1" s="112" t="s">
        <v>1</v>
      </c>
    </row>
    <row r="2" spans="1:21" ht="14.25">
      <c r="A2" s="113" t="s">
        <v>152</v>
      </c>
      <c r="B2" s="114">
        <v>0</v>
      </c>
      <c r="C2" s="114">
        <f>+B27</f>
        <v>94</v>
      </c>
      <c r="D2" s="114">
        <f t="shared" ref="D2:M2" si="0">+C27</f>
        <v>183</v>
      </c>
      <c r="E2" s="114">
        <f t="shared" si="0"/>
        <v>272</v>
      </c>
      <c r="F2" s="114">
        <f t="shared" si="0"/>
        <v>286</v>
      </c>
      <c r="G2" s="114">
        <f t="shared" si="0"/>
        <v>300</v>
      </c>
      <c r="H2" s="114">
        <f t="shared" si="0"/>
        <v>167</v>
      </c>
      <c r="I2" s="114">
        <f t="shared" si="0"/>
        <v>-56</v>
      </c>
      <c r="J2" s="114">
        <f t="shared" si="0"/>
        <v>-182</v>
      </c>
      <c r="K2" s="114">
        <f t="shared" si="0"/>
        <v>-268</v>
      </c>
      <c r="L2" s="114">
        <f t="shared" si="0"/>
        <v>-65</v>
      </c>
      <c r="M2" s="114">
        <f t="shared" si="0"/>
        <v>138</v>
      </c>
      <c r="N2" s="113"/>
    </row>
    <row r="3" spans="1:21" ht="14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21">
      <c r="A4" s="116" t="s">
        <v>137</v>
      </c>
      <c r="B4" s="117"/>
      <c r="C4" s="76"/>
      <c r="D4" s="118"/>
      <c r="E4" s="117"/>
      <c r="F4" s="76"/>
      <c r="G4" s="119"/>
      <c r="H4" s="76"/>
      <c r="I4" s="119"/>
      <c r="J4" s="76"/>
      <c r="K4" s="119"/>
      <c r="L4" s="76"/>
      <c r="M4" s="118"/>
      <c r="N4" s="76"/>
    </row>
    <row r="5" spans="1:21">
      <c r="A5" s="121" t="s">
        <v>294</v>
      </c>
      <c r="B5" s="122">
        <f>+(Tabla35[[#This Row],[PRECIO PROMEDIO QUINTALES  AGRICULTOR]]+'PRECIOS QUINTALES'!$B$6)*3</f>
        <v>114</v>
      </c>
      <c r="C5" s="122">
        <v>114</v>
      </c>
      <c r="D5" s="122">
        <v>114</v>
      </c>
      <c r="E5" s="122">
        <v>114</v>
      </c>
      <c r="F5" s="122">
        <v>114</v>
      </c>
      <c r="G5" s="122">
        <f>+F5/2</f>
        <v>57</v>
      </c>
      <c r="H5" s="122">
        <v>57</v>
      </c>
      <c r="I5" s="122">
        <v>114</v>
      </c>
      <c r="J5" s="122">
        <v>114</v>
      </c>
      <c r="K5" s="122">
        <f>76*3</f>
        <v>228</v>
      </c>
      <c r="L5" s="122">
        <f>76*3</f>
        <v>228</v>
      </c>
      <c r="M5" s="122">
        <f>76*3</f>
        <v>228</v>
      </c>
      <c r="N5" s="123">
        <f>SUM(B5:M5)</f>
        <v>1596</v>
      </c>
      <c r="T5">
        <f>11638/538</f>
        <v>21.631970260223049</v>
      </c>
    </row>
    <row r="6" spans="1:21">
      <c r="A6" s="121" t="s">
        <v>318</v>
      </c>
      <c r="B6" s="122">
        <v>150</v>
      </c>
      <c r="C6" s="122">
        <v>150</v>
      </c>
      <c r="D6" s="122">
        <v>150</v>
      </c>
      <c r="E6" s="122">
        <v>150</v>
      </c>
      <c r="F6" s="122">
        <v>150</v>
      </c>
      <c r="G6" s="122">
        <v>150</v>
      </c>
      <c r="H6" s="122">
        <v>150</v>
      </c>
      <c r="I6" s="122">
        <v>150</v>
      </c>
      <c r="J6" s="122">
        <v>150</v>
      </c>
      <c r="K6" s="122">
        <v>150</v>
      </c>
      <c r="L6" s="122">
        <v>150</v>
      </c>
      <c r="M6" s="122">
        <v>150</v>
      </c>
      <c r="N6" s="123"/>
    </row>
    <row r="7" spans="1:21">
      <c r="A7" s="120"/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T7">
        <f>2154/4</f>
        <v>538.5</v>
      </c>
    </row>
    <row r="8" spans="1:21">
      <c r="A8" s="120" t="s">
        <v>153</v>
      </c>
      <c r="B8" s="129">
        <f>SUM(B5:B7)</f>
        <v>264</v>
      </c>
      <c r="C8" s="124">
        <f>SUM(C5:C7)</f>
        <v>264</v>
      </c>
      <c r="D8" s="124">
        <f t="shared" ref="D8:N8" si="1">SUM(D5:D7)</f>
        <v>264</v>
      </c>
      <c r="E8" s="124">
        <f t="shared" si="1"/>
        <v>264</v>
      </c>
      <c r="F8" s="124">
        <f t="shared" si="1"/>
        <v>264</v>
      </c>
      <c r="G8" s="124">
        <f t="shared" si="1"/>
        <v>207</v>
      </c>
      <c r="H8" s="124">
        <f t="shared" si="1"/>
        <v>207</v>
      </c>
      <c r="I8" s="124">
        <f t="shared" si="1"/>
        <v>264</v>
      </c>
      <c r="J8" s="124">
        <f t="shared" si="1"/>
        <v>264</v>
      </c>
      <c r="K8" s="124">
        <f t="shared" si="1"/>
        <v>378</v>
      </c>
      <c r="L8" s="124">
        <f t="shared" si="1"/>
        <v>378</v>
      </c>
      <c r="M8" s="124">
        <f t="shared" si="1"/>
        <v>378</v>
      </c>
      <c r="N8" s="124">
        <f t="shared" si="1"/>
        <v>1596</v>
      </c>
    </row>
    <row r="9" spans="1:21">
      <c r="A9" s="120"/>
      <c r="B9" s="130">
        <f>+B3+B8</f>
        <v>264</v>
      </c>
      <c r="C9" s="125">
        <f>+C2+C8</f>
        <v>358</v>
      </c>
      <c r="D9" s="125">
        <f>+D2+D8</f>
        <v>447</v>
      </c>
      <c r="E9" s="125">
        <f t="shared" ref="E9:M9" si="2">+E2+E8</f>
        <v>536</v>
      </c>
      <c r="F9" s="125">
        <f t="shared" si="2"/>
        <v>550</v>
      </c>
      <c r="G9" s="125">
        <f t="shared" si="2"/>
        <v>507</v>
      </c>
      <c r="H9" s="125">
        <f t="shared" si="2"/>
        <v>374</v>
      </c>
      <c r="I9" s="125">
        <f t="shared" si="2"/>
        <v>208</v>
      </c>
      <c r="J9" s="125">
        <f t="shared" si="2"/>
        <v>82</v>
      </c>
      <c r="K9" s="125">
        <f t="shared" si="2"/>
        <v>110</v>
      </c>
      <c r="L9" s="125">
        <f t="shared" si="2"/>
        <v>313</v>
      </c>
      <c r="M9" s="125">
        <f t="shared" si="2"/>
        <v>516</v>
      </c>
      <c r="N9" s="123">
        <f>SUM(B9:M9)</f>
        <v>4265</v>
      </c>
    </row>
    <row r="10" spans="1:21">
      <c r="A10" s="116" t="s">
        <v>154</v>
      </c>
      <c r="B10" s="122"/>
      <c r="C10" s="123"/>
      <c r="D10" s="131"/>
      <c r="E10" s="122"/>
      <c r="F10" s="123"/>
      <c r="G10" s="132"/>
      <c r="H10" s="123"/>
      <c r="I10" s="132"/>
      <c r="J10" s="123"/>
      <c r="K10" s="132"/>
      <c r="L10" s="123"/>
      <c r="M10" s="131"/>
      <c r="N10" s="123"/>
      <c r="T10" s="28">
        <f>11638/12</f>
        <v>969.83333333333337</v>
      </c>
    </row>
    <row r="11" spans="1:21">
      <c r="A11" s="121" t="s">
        <v>295</v>
      </c>
      <c r="B11" s="122">
        <v>20</v>
      </c>
      <c r="C11" s="122">
        <v>20</v>
      </c>
      <c r="D11" s="122">
        <v>20</v>
      </c>
      <c r="E11" s="122">
        <v>20</v>
      </c>
      <c r="F11" s="122">
        <v>20</v>
      </c>
      <c r="G11" s="122">
        <v>20</v>
      </c>
      <c r="H11" s="122">
        <v>20</v>
      </c>
      <c r="I11" s="122">
        <v>20</v>
      </c>
      <c r="J11" s="122">
        <v>20</v>
      </c>
      <c r="K11" s="122">
        <v>20</v>
      </c>
      <c r="L11" s="122">
        <v>20</v>
      </c>
      <c r="M11" s="122">
        <v>20</v>
      </c>
      <c r="N11" s="123" t="e">
        <f>+SUELDOS!#REF!</f>
        <v>#REF!</v>
      </c>
      <c r="T11">
        <f>+T10/358</f>
        <v>2.7090316573556796</v>
      </c>
      <c r="U11">
        <f>1433/4</f>
        <v>358.25</v>
      </c>
    </row>
    <row r="12" spans="1:21">
      <c r="A12" s="120" t="s">
        <v>296</v>
      </c>
      <c r="B12" s="207">
        <v>20</v>
      </c>
      <c r="C12" s="128">
        <v>20</v>
      </c>
      <c r="D12" s="128">
        <v>20</v>
      </c>
      <c r="E12" s="128">
        <v>20</v>
      </c>
      <c r="F12" s="128">
        <v>20</v>
      </c>
      <c r="G12" s="128">
        <v>20</v>
      </c>
      <c r="H12" s="128">
        <v>20</v>
      </c>
      <c r="I12" s="128">
        <v>20</v>
      </c>
      <c r="J12" s="128">
        <v>20</v>
      </c>
      <c r="K12" s="128">
        <v>20</v>
      </c>
      <c r="L12" s="128">
        <v>20</v>
      </c>
      <c r="M12" s="128">
        <v>20</v>
      </c>
      <c r="N12" s="123" t="e">
        <f>+#REF!</f>
        <v>#REF!</v>
      </c>
    </row>
    <row r="13" spans="1:21">
      <c r="A13" s="120" t="s">
        <v>297</v>
      </c>
      <c r="B13" s="207">
        <v>20</v>
      </c>
      <c r="C13" s="128">
        <v>20</v>
      </c>
      <c r="D13" s="128">
        <v>20</v>
      </c>
      <c r="E13" s="128">
        <v>20</v>
      </c>
      <c r="F13" s="128">
        <v>20</v>
      </c>
      <c r="G13" s="128">
        <v>20</v>
      </c>
      <c r="H13" s="128">
        <v>20</v>
      </c>
      <c r="I13" s="128">
        <v>20</v>
      </c>
      <c r="J13" s="128">
        <v>20</v>
      </c>
      <c r="K13" s="128">
        <v>20</v>
      </c>
      <c r="L13" s="128">
        <v>20</v>
      </c>
      <c r="M13" s="128">
        <v>20</v>
      </c>
      <c r="N13" s="123" t="e">
        <f>+#REF!+#REF!</f>
        <v>#REF!</v>
      </c>
      <c r="R13">
        <v>11638</v>
      </c>
      <c r="T13">
        <f>+T10/4</f>
        <v>242.45833333333334</v>
      </c>
    </row>
    <row r="14" spans="1:21">
      <c r="A14" s="120" t="s">
        <v>298</v>
      </c>
      <c r="B14" s="207">
        <v>10</v>
      </c>
      <c r="C14" s="128">
        <v>10</v>
      </c>
      <c r="D14" s="128">
        <v>10</v>
      </c>
      <c r="E14" s="128">
        <v>10</v>
      </c>
      <c r="F14" s="128">
        <v>10</v>
      </c>
      <c r="G14" s="128">
        <v>10</v>
      </c>
      <c r="H14" s="128">
        <v>10</v>
      </c>
      <c r="I14" s="128">
        <v>10</v>
      </c>
      <c r="J14" s="128">
        <v>10</v>
      </c>
      <c r="K14" s="128">
        <v>10</v>
      </c>
      <c r="L14" s="128">
        <v>10</v>
      </c>
      <c r="M14" s="128">
        <v>10</v>
      </c>
      <c r="N14" s="123" t="e">
        <f>+#REF!</f>
        <v>#REF!</v>
      </c>
      <c r="R14">
        <f>721/4</f>
        <v>180.25</v>
      </c>
    </row>
    <row r="15" spans="1:21">
      <c r="A15" s="120" t="s">
        <v>299</v>
      </c>
      <c r="B15" s="207">
        <v>5</v>
      </c>
      <c r="C15" s="128">
        <v>10</v>
      </c>
      <c r="D15" s="128">
        <v>10</v>
      </c>
      <c r="E15" s="128">
        <v>10</v>
      </c>
      <c r="F15" s="128">
        <v>10</v>
      </c>
      <c r="G15" s="128">
        <v>10</v>
      </c>
      <c r="H15" s="128">
        <v>10</v>
      </c>
      <c r="I15" s="128">
        <v>10</v>
      </c>
      <c r="J15" s="128">
        <v>10</v>
      </c>
      <c r="K15" s="128">
        <v>10</v>
      </c>
      <c r="L15" s="128">
        <v>10</v>
      </c>
      <c r="M15" s="128">
        <v>10</v>
      </c>
      <c r="N15" s="123" t="e">
        <f>+#REF!</f>
        <v>#REF!</v>
      </c>
      <c r="T15">
        <f>+T10/1982</f>
        <v>0.4893205516313488</v>
      </c>
    </row>
    <row r="16" spans="1:21">
      <c r="A16" s="120" t="s">
        <v>300</v>
      </c>
      <c r="B16" s="128">
        <v>30</v>
      </c>
      <c r="C16" s="128">
        <v>30</v>
      </c>
      <c r="D16" s="128">
        <v>30</v>
      </c>
      <c r="E16" s="128">
        <v>30</v>
      </c>
      <c r="F16" s="128">
        <v>30</v>
      </c>
      <c r="G16" s="128">
        <v>30</v>
      </c>
      <c r="H16" s="128">
        <v>30</v>
      </c>
      <c r="I16" s="128">
        <v>30</v>
      </c>
      <c r="J16" s="128">
        <v>30</v>
      </c>
      <c r="K16" s="128">
        <v>30</v>
      </c>
      <c r="L16" s="128">
        <v>30</v>
      </c>
      <c r="M16" s="128">
        <v>30</v>
      </c>
      <c r="N16" s="123" t="e">
        <f>+#REF!</f>
        <v>#REF!</v>
      </c>
    </row>
    <row r="17" spans="1:18">
      <c r="A17" s="121" t="s">
        <v>319</v>
      </c>
      <c r="B17" s="128">
        <v>10</v>
      </c>
      <c r="C17" s="128">
        <v>10</v>
      </c>
      <c r="D17" s="128">
        <v>10</v>
      </c>
      <c r="E17" s="128">
        <v>10</v>
      </c>
      <c r="F17" s="128">
        <v>10</v>
      </c>
      <c r="G17" s="128">
        <v>10</v>
      </c>
      <c r="H17" s="128">
        <v>50</v>
      </c>
      <c r="I17" s="128">
        <v>50</v>
      </c>
      <c r="J17" s="128">
        <v>10</v>
      </c>
      <c r="K17" s="128">
        <v>10</v>
      </c>
      <c r="L17" s="128">
        <v>10</v>
      </c>
      <c r="M17" s="128">
        <v>10</v>
      </c>
      <c r="N17" s="123" t="e">
        <f>+#REF!</f>
        <v>#REF!</v>
      </c>
    </row>
    <row r="18" spans="1:18">
      <c r="A18" s="120" t="s">
        <v>301</v>
      </c>
      <c r="B18" s="128">
        <v>25</v>
      </c>
      <c r="C18" s="128">
        <v>25</v>
      </c>
      <c r="D18" s="128">
        <v>25</v>
      </c>
      <c r="E18" s="179">
        <v>100</v>
      </c>
      <c r="F18" s="179">
        <v>100</v>
      </c>
      <c r="G18" s="179">
        <v>150</v>
      </c>
      <c r="H18" s="179">
        <v>200</v>
      </c>
      <c r="I18" s="179">
        <v>200</v>
      </c>
      <c r="J18" s="179">
        <v>200</v>
      </c>
      <c r="K18" s="122">
        <v>25</v>
      </c>
      <c r="L18" s="122">
        <v>25</v>
      </c>
      <c r="M18" s="122">
        <v>25</v>
      </c>
      <c r="N18" s="123" t="e">
        <f>+#REF!</f>
        <v>#REF!</v>
      </c>
    </row>
    <row r="19" spans="1:18">
      <c r="A19" s="120" t="s">
        <v>302</v>
      </c>
      <c r="B19" s="128">
        <v>10</v>
      </c>
      <c r="C19" s="128">
        <v>10</v>
      </c>
      <c r="D19" s="128">
        <v>10</v>
      </c>
      <c r="E19" s="128">
        <v>10</v>
      </c>
      <c r="F19" s="128">
        <v>10</v>
      </c>
      <c r="G19" s="180">
        <v>50</v>
      </c>
      <c r="H19" s="180">
        <v>50</v>
      </c>
      <c r="I19" s="128">
        <v>10</v>
      </c>
      <c r="J19" s="128">
        <v>10</v>
      </c>
      <c r="K19" s="128">
        <v>10</v>
      </c>
      <c r="L19" s="128">
        <v>10</v>
      </c>
      <c r="M19" s="128">
        <v>10</v>
      </c>
      <c r="N19" s="123" t="e">
        <f>+#REF!</f>
        <v>#REF!</v>
      </c>
    </row>
    <row r="20" spans="1:18" ht="22.5">
      <c r="A20" s="121" t="s">
        <v>303</v>
      </c>
      <c r="B20" s="128">
        <v>15</v>
      </c>
      <c r="C20" s="128">
        <v>15</v>
      </c>
      <c r="D20" s="128">
        <v>15</v>
      </c>
      <c r="E20" s="128">
        <v>15</v>
      </c>
      <c r="F20" s="128">
        <v>15</v>
      </c>
      <c r="G20" s="128">
        <v>15</v>
      </c>
      <c r="H20" s="128">
        <v>15</v>
      </c>
      <c r="I20" s="128">
        <v>15</v>
      </c>
      <c r="J20" s="128">
        <v>15</v>
      </c>
      <c r="K20" s="128">
        <v>15</v>
      </c>
      <c r="L20" s="128">
        <v>15</v>
      </c>
      <c r="M20" s="128">
        <v>15</v>
      </c>
      <c r="N20" s="123">
        <f>SUM(B20:M20)</f>
        <v>180</v>
      </c>
      <c r="R20">
        <f>719/12</f>
        <v>59.916666666666664</v>
      </c>
    </row>
    <row r="21" spans="1:18">
      <c r="A21" s="121" t="s">
        <v>58</v>
      </c>
      <c r="B21" s="128">
        <v>5</v>
      </c>
      <c r="C21" s="128">
        <v>5</v>
      </c>
      <c r="D21" s="128">
        <v>5</v>
      </c>
      <c r="E21" s="128">
        <v>5</v>
      </c>
      <c r="F21" s="128">
        <v>5</v>
      </c>
      <c r="G21" s="128">
        <v>5</v>
      </c>
      <c r="H21" s="128">
        <v>5</v>
      </c>
      <c r="I21" s="128">
        <v>5</v>
      </c>
      <c r="J21" s="128">
        <v>5</v>
      </c>
      <c r="K21" s="128">
        <v>5</v>
      </c>
      <c r="L21" s="128">
        <v>5</v>
      </c>
      <c r="M21" s="128">
        <v>5</v>
      </c>
      <c r="N21" s="123">
        <f t="shared" ref="N21:N24" si="3">SUM(B21:M21)</f>
        <v>60</v>
      </c>
      <c r="R21">
        <f>+R20/538</f>
        <v>0.11136926889714993</v>
      </c>
    </row>
    <row r="22" spans="1:18">
      <c r="A22" s="120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3">
        <f>700*12</f>
        <v>8400</v>
      </c>
    </row>
    <row r="23" spans="1:18">
      <c r="A23" s="120"/>
      <c r="B23" s="128">
        <v>0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3">
        <f t="shared" ref="N23" si="4">SUM(B23:M23)</f>
        <v>0</v>
      </c>
    </row>
    <row r="24" spans="1:18">
      <c r="A24" s="120"/>
      <c r="B24" s="128"/>
      <c r="C24" s="123"/>
      <c r="D24" s="131"/>
      <c r="E24" s="122"/>
      <c r="F24" s="123"/>
      <c r="G24" s="132"/>
      <c r="H24" s="123"/>
      <c r="I24" s="132"/>
      <c r="J24" s="123"/>
      <c r="K24" s="132"/>
      <c r="L24" s="123"/>
      <c r="M24" s="131"/>
      <c r="N24" s="123">
        <f t="shared" si="3"/>
        <v>0</v>
      </c>
    </row>
    <row r="25" spans="1:18">
      <c r="A25" s="126" t="s">
        <v>155</v>
      </c>
      <c r="B25" s="127">
        <f t="shared" ref="B25:N25" si="5">SUM(B11:B24)</f>
        <v>170</v>
      </c>
      <c r="C25" s="127">
        <f t="shared" si="5"/>
        <v>175</v>
      </c>
      <c r="D25" s="127">
        <f t="shared" si="5"/>
        <v>175</v>
      </c>
      <c r="E25" s="127">
        <f t="shared" si="5"/>
        <v>250</v>
      </c>
      <c r="F25" s="127">
        <f t="shared" si="5"/>
        <v>250</v>
      </c>
      <c r="G25" s="127">
        <f t="shared" si="5"/>
        <v>340</v>
      </c>
      <c r="H25" s="127">
        <f t="shared" si="5"/>
        <v>430</v>
      </c>
      <c r="I25" s="127">
        <f t="shared" si="5"/>
        <v>390</v>
      </c>
      <c r="J25" s="127">
        <f t="shared" si="5"/>
        <v>350</v>
      </c>
      <c r="K25" s="127">
        <f t="shared" si="5"/>
        <v>175</v>
      </c>
      <c r="L25" s="127">
        <f t="shared" si="5"/>
        <v>175</v>
      </c>
      <c r="M25" s="127">
        <f t="shared" si="5"/>
        <v>175</v>
      </c>
      <c r="N25" s="127" t="e">
        <f t="shared" si="5"/>
        <v>#REF!</v>
      </c>
    </row>
    <row r="26" spans="1:18" ht="13.5" thickBot="1">
      <c r="A26" s="114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8" ht="13.5" thickBot="1">
      <c r="A27" s="738" t="s">
        <v>156</v>
      </c>
      <c r="B27" s="135">
        <f>+B9-B25+B2</f>
        <v>94</v>
      </c>
      <c r="C27" s="135">
        <f t="shared" ref="C27:M27" si="6">+C9-C25</f>
        <v>183</v>
      </c>
      <c r="D27" s="135">
        <f t="shared" si="6"/>
        <v>272</v>
      </c>
      <c r="E27" s="135">
        <f t="shared" si="6"/>
        <v>286</v>
      </c>
      <c r="F27" s="135">
        <f t="shared" si="6"/>
        <v>300</v>
      </c>
      <c r="G27" s="135">
        <f t="shared" si="6"/>
        <v>167</v>
      </c>
      <c r="H27" s="182">
        <f t="shared" si="6"/>
        <v>-56</v>
      </c>
      <c r="I27" s="184">
        <f t="shared" si="6"/>
        <v>-182</v>
      </c>
      <c r="J27" s="184">
        <f t="shared" si="6"/>
        <v>-268</v>
      </c>
      <c r="K27" s="183">
        <f t="shared" si="6"/>
        <v>-65</v>
      </c>
      <c r="L27" s="135">
        <f t="shared" si="6"/>
        <v>138</v>
      </c>
      <c r="M27" s="135">
        <f t="shared" si="6"/>
        <v>341</v>
      </c>
      <c r="N27" s="134">
        <f>SUM(B27:M27)</f>
        <v>1210</v>
      </c>
      <c r="O27" s="181">
        <f>+N27/12</f>
        <v>100.83333333333333</v>
      </c>
    </row>
    <row r="28" spans="1:18" ht="15" thickBot="1">
      <c r="A28" s="73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5"/>
      <c r="M28" s="115"/>
      <c r="N28" s="113"/>
    </row>
    <row r="29" spans="1:18" ht="13.5" thickBot="1"/>
    <row r="30" spans="1:18" ht="13.5" thickBot="1">
      <c r="H30" s="100" t="s">
        <v>320</v>
      </c>
      <c r="I30" s="189" t="s">
        <v>321</v>
      </c>
      <c r="J30" s="189" t="s">
        <v>322</v>
      </c>
      <c r="K30" s="190" t="s">
        <v>320</v>
      </c>
    </row>
    <row r="31" spans="1:18">
      <c r="B31">
        <v>409</v>
      </c>
      <c r="C31" s="96" t="s">
        <v>323</v>
      </c>
    </row>
    <row r="32" spans="1:18" ht="13.5" thickBot="1">
      <c r="H32" s="37">
        <f>SUM(H27:K27)</f>
        <v>-571</v>
      </c>
    </row>
    <row r="33" spans="1:10" ht="13.5" thickBot="1">
      <c r="A33" s="192">
        <f>+B31*69%</f>
        <v>282.20999999999998</v>
      </c>
      <c r="B33">
        <v>110</v>
      </c>
      <c r="C33" s="28" t="s">
        <v>324</v>
      </c>
      <c r="D33" s="192">
        <f>+A33*B33</f>
        <v>31043.1</v>
      </c>
      <c r="H33" s="191">
        <f>700*358</f>
        <v>250600</v>
      </c>
    </row>
    <row r="34" spans="1:10">
      <c r="A34" s="192">
        <f>+B31*31%</f>
        <v>126.78999999999999</v>
      </c>
      <c r="B34">
        <v>95</v>
      </c>
      <c r="C34" s="28" t="s">
        <v>325</v>
      </c>
      <c r="D34" s="192">
        <f>+A34*B34</f>
        <v>12045.05</v>
      </c>
    </row>
    <row r="35" spans="1:10">
      <c r="D35" s="192">
        <f>SUM(D33:D34)</f>
        <v>43088.149999999994</v>
      </c>
    </row>
    <row r="38" spans="1:10">
      <c r="A38">
        <v>409</v>
      </c>
      <c r="B38">
        <v>43088</v>
      </c>
    </row>
    <row r="39" spans="1:10">
      <c r="A39" s="28" t="s">
        <v>139</v>
      </c>
      <c r="B39">
        <v>11688</v>
      </c>
    </row>
    <row r="41" spans="1:10">
      <c r="A41">
        <f>+B39*A38/B38</f>
        <v>110.94485703676197</v>
      </c>
      <c r="B41">
        <f>+A41*3</f>
        <v>332.83457111028594</v>
      </c>
    </row>
    <row r="44" spans="1:10">
      <c r="E44" s="740" t="s">
        <v>326</v>
      </c>
      <c r="F44" s="197" t="s">
        <v>327</v>
      </c>
      <c r="G44" s="742"/>
      <c r="H44" s="193"/>
      <c r="I44" s="193"/>
      <c r="J44" s="194"/>
    </row>
    <row r="45" spans="1:10">
      <c r="E45" s="740"/>
      <c r="F45" s="198" t="s">
        <v>328</v>
      </c>
      <c r="G45" s="742"/>
      <c r="H45" s="194"/>
      <c r="I45" s="194"/>
      <c r="J45" s="194"/>
    </row>
    <row r="46" spans="1:10">
      <c r="E46" s="201" t="s">
        <v>329</v>
      </c>
      <c r="F46" s="202">
        <v>165</v>
      </c>
      <c r="G46" s="195"/>
      <c r="H46" s="195"/>
      <c r="I46" s="195"/>
      <c r="J46" s="195"/>
    </row>
    <row r="47" spans="1:10">
      <c r="E47" s="199" t="s">
        <v>330</v>
      </c>
      <c r="F47" s="200">
        <v>377</v>
      </c>
      <c r="G47" s="195"/>
      <c r="H47" s="195"/>
      <c r="I47" s="195"/>
      <c r="J47" s="195"/>
    </row>
    <row r="48" spans="1:10" ht="25.5">
      <c r="E48" s="201" t="s">
        <v>331</v>
      </c>
      <c r="F48" s="202">
        <v>193</v>
      </c>
      <c r="G48" s="195"/>
      <c r="H48" s="195"/>
      <c r="I48" s="195"/>
      <c r="J48" s="195"/>
    </row>
    <row r="49" spans="5:16" ht="51">
      <c r="E49" s="199" t="s">
        <v>332</v>
      </c>
      <c r="F49" s="200">
        <v>264</v>
      </c>
      <c r="G49" s="195"/>
      <c r="H49" s="195"/>
      <c r="I49" s="195"/>
      <c r="J49" s="195"/>
      <c r="L49">
        <v>1065</v>
      </c>
      <c r="M49">
        <f>+L49-91</f>
        <v>974</v>
      </c>
      <c r="N49">
        <f>+M49*14</f>
        <v>13636</v>
      </c>
      <c r="O49">
        <f>+N49*6</f>
        <v>81816</v>
      </c>
      <c r="P49">
        <f>+O49/1200</f>
        <v>68.180000000000007</v>
      </c>
    </row>
    <row r="50" spans="5:16" ht="38.25">
      <c r="E50" s="201" t="s">
        <v>333</v>
      </c>
      <c r="F50" s="203">
        <f>SUM(F46:F49)</f>
        <v>999</v>
      </c>
      <c r="G50" s="196"/>
      <c r="H50" s="196"/>
      <c r="I50" s="196"/>
      <c r="J50" s="196"/>
      <c r="K50" s="206"/>
    </row>
    <row r="51" spans="5:16" ht="51">
      <c r="E51" s="199" t="s">
        <v>334</v>
      </c>
      <c r="F51" s="200">
        <v>66</v>
      </c>
      <c r="G51" s="195"/>
      <c r="H51" s="195"/>
      <c r="I51" s="195"/>
      <c r="J51" s="195">
        <f>1128-264+61</f>
        <v>925</v>
      </c>
      <c r="K51">
        <f>+J51*5%</f>
        <v>46.25</v>
      </c>
      <c r="L51">
        <f>+J51*14</f>
        <v>12950</v>
      </c>
      <c r="M51">
        <f>+L51*6</f>
        <v>77700</v>
      </c>
      <c r="N51">
        <f>+M51/1200</f>
        <v>64.75</v>
      </c>
    </row>
    <row r="52" spans="5:16" ht="51">
      <c r="E52" s="201" t="s">
        <v>335</v>
      </c>
      <c r="F52" s="202">
        <v>61</v>
      </c>
      <c r="G52" s="195"/>
      <c r="H52" s="195"/>
      <c r="I52" s="195"/>
      <c r="J52" s="195">
        <v>14</v>
      </c>
      <c r="K52">
        <v>66</v>
      </c>
    </row>
    <row r="53" spans="5:16" ht="25.5">
      <c r="E53" s="199" t="s">
        <v>336</v>
      </c>
      <c r="F53" s="200"/>
      <c r="G53" s="195"/>
      <c r="H53" s="195"/>
      <c r="I53" s="195"/>
      <c r="J53" s="195">
        <v>100</v>
      </c>
      <c r="K53" t="s">
        <v>139</v>
      </c>
      <c r="L53">
        <f>+J53*K52/J52</f>
        <v>471.42857142857144</v>
      </c>
    </row>
    <row r="54" spans="5:16" ht="51">
      <c r="E54" s="201" t="s">
        <v>337</v>
      </c>
      <c r="F54" s="203">
        <f>SUM(F50:F53)</f>
        <v>1126</v>
      </c>
      <c r="G54" s="196"/>
      <c r="H54" s="196"/>
      <c r="I54" s="196"/>
      <c r="J54" s="196">
        <f>377+193</f>
        <v>570</v>
      </c>
      <c r="L54">
        <f>+L53*14%</f>
        <v>66.000000000000014</v>
      </c>
      <c r="M54">
        <v>61</v>
      </c>
      <c r="N54">
        <v>5</v>
      </c>
      <c r="P54">
        <f>+O55*5%</f>
        <v>61</v>
      </c>
    </row>
    <row r="55" spans="5:16" ht="51">
      <c r="E55" s="199" t="s">
        <v>338</v>
      </c>
      <c r="F55" s="200">
        <v>150</v>
      </c>
      <c r="G55" s="195"/>
      <c r="H55" s="195"/>
      <c r="I55" s="195"/>
      <c r="J55" s="195">
        <f>1128*7%</f>
        <v>78.960000000000008</v>
      </c>
      <c r="M55" t="s">
        <v>139</v>
      </c>
      <c r="N55">
        <v>100</v>
      </c>
      <c r="O55">
        <f>+N55*M54/N54</f>
        <v>1220</v>
      </c>
      <c r="P55">
        <f>1128+66</f>
        <v>1194</v>
      </c>
    </row>
    <row r="56" spans="5:16" ht="63.75">
      <c r="E56" s="201" t="s">
        <v>339</v>
      </c>
      <c r="F56" s="204">
        <f>+F54/F55</f>
        <v>7.5066666666666668</v>
      </c>
      <c r="G56" s="196"/>
      <c r="H56" s="196"/>
      <c r="I56" s="196"/>
      <c r="J56" s="196"/>
      <c r="M56">
        <f>1128+100+150</f>
        <v>1378</v>
      </c>
      <c r="N56">
        <v>1128</v>
      </c>
      <c r="O56">
        <f>+N56*14%</f>
        <v>157.92000000000002</v>
      </c>
    </row>
    <row r="57" spans="5:16" ht="12.75" customHeight="1">
      <c r="E57" s="741" t="s">
        <v>340</v>
      </c>
      <c r="F57" s="741"/>
      <c r="G57" s="741"/>
      <c r="H57" s="741"/>
      <c r="I57" s="741"/>
      <c r="J57" s="741"/>
      <c r="M57">
        <f>+M56*14%</f>
        <v>192.92000000000002</v>
      </c>
    </row>
    <row r="58" spans="5:16" ht="25.5" customHeight="1">
      <c r="E58" s="741" t="s">
        <v>341</v>
      </c>
      <c r="F58" s="741"/>
      <c r="G58" s="741"/>
      <c r="H58" s="741"/>
      <c r="I58" s="741"/>
      <c r="J58" s="741"/>
      <c r="M58">
        <f>+M57/12</f>
        <v>16.076666666666668</v>
      </c>
    </row>
    <row r="59" spans="5:16" ht="3" customHeight="1">
      <c r="M59">
        <f>+M58*6</f>
        <v>96.460000000000008</v>
      </c>
    </row>
    <row r="60" spans="5:16">
      <c r="E60" s="205" t="s">
        <v>342</v>
      </c>
      <c r="M60">
        <f>+M58*6</f>
        <v>96.460000000000008</v>
      </c>
    </row>
    <row r="64" spans="5:16">
      <c r="F64">
        <v>1128</v>
      </c>
    </row>
    <row r="65" spans="6:6">
      <c r="F65">
        <f>+F64/4</f>
        <v>282</v>
      </c>
    </row>
    <row r="66" spans="6:6">
      <c r="F66">
        <f>+F65*5%</f>
        <v>14.100000000000001</v>
      </c>
    </row>
  </sheetData>
  <mergeCells count="5">
    <mergeCell ref="A27:A28"/>
    <mergeCell ref="E44:E45"/>
    <mergeCell ref="E57:J57"/>
    <mergeCell ref="E58:J58"/>
    <mergeCell ref="G44:G45"/>
  </mergeCells>
  <hyperlinks>
    <hyperlink ref="E60" r:id="rId1"/>
  </hyperlinks>
  <pageMargins left="0.7" right="0.7" top="0.75" bottom="0.75" header="0.3" footer="0.3"/>
  <pageSetup paperSize="9" orientation="portrait" horizontalDpi="4294967293" verticalDpi="300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5"/>
  <dimension ref="A1:X62"/>
  <sheetViews>
    <sheetView topLeftCell="A13" zoomScale="90" zoomScaleNormal="90" workbookViewId="0">
      <selection activeCell="G8" sqref="G8"/>
    </sheetView>
  </sheetViews>
  <sheetFormatPr baseColWidth="10" defaultRowHeight="12"/>
  <cols>
    <col min="1" max="1" width="25.7109375" style="114" customWidth="1"/>
    <col min="2" max="2" width="5.85546875" style="114" customWidth="1"/>
    <col min="3" max="3" width="6.85546875" style="114" customWidth="1"/>
    <col min="4" max="4" width="7.140625" style="114" customWidth="1"/>
    <col min="5" max="5" width="7.5703125" style="114" customWidth="1"/>
    <col min="6" max="6" width="12.28515625" style="114" customWidth="1"/>
    <col min="7" max="7" width="11.7109375" style="114" customWidth="1"/>
    <col min="8" max="8" width="6.5703125" style="114" customWidth="1"/>
    <col min="9" max="9" width="7.42578125" style="114" customWidth="1"/>
    <col min="10" max="10" width="7" style="114" customWidth="1"/>
    <col min="11" max="11" width="7.28515625" style="114" customWidth="1"/>
    <col min="12" max="12" width="6.85546875" style="114" customWidth="1"/>
    <col min="13" max="13" width="7.5703125" style="114" customWidth="1"/>
    <col min="14" max="14" width="10.140625" style="114" customWidth="1"/>
    <col min="15" max="15" width="1.7109375" style="114" customWidth="1"/>
    <col min="16" max="16" width="2.7109375" style="114" customWidth="1"/>
    <col min="17" max="19" width="11.42578125" style="114" hidden="1" customWidth="1"/>
    <col min="20" max="20" width="11.42578125" style="114"/>
    <col min="21" max="21" width="12.42578125" style="114" bestFit="1" customWidth="1"/>
    <col min="22" max="22" width="11.42578125" style="114"/>
    <col min="23" max="23" width="17.140625" style="114" customWidth="1"/>
    <col min="24" max="24" width="16.140625" style="114" customWidth="1"/>
    <col min="25" max="16384" width="11.42578125" style="114"/>
  </cols>
  <sheetData>
    <row r="1" spans="1:24">
      <c r="A1" s="753" t="s">
        <v>435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</row>
    <row r="2" spans="1:24">
      <c r="A2" s="753"/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</row>
    <row r="3" spans="1:24" ht="15.75">
      <c r="A3" s="753"/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48" t="s">
        <v>434</v>
      </c>
      <c r="Q3" s="749"/>
      <c r="R3" s="749"/>
      <c r="S3" s="749"/>
      <c r="T3" s="749"/>
      <c r="U3" s="749"/>
      <c r="V3" s="749"/>
      <c r="W3" s="749"/>
      <c r="X3" s="749"/>
    </row>
    <row r="4" spans="1:24" ht="6.75" customHeight="1"/>
    <row r="5" spans="1:24" ht="3.75" customHeight="1"/>
    <row r="6" spans="1:24" ht="48" customHeight="1">
      <c r="A6" s="755" t="s">
        <v>399</v>
      </c>
      <c r="B6" s="755"/>
      <c r="C6" s="209" t="s">
        <v>351</v>
      </c>
      <c r="D6" s="209" t="s">
        <v>345</v>
      </c>
      <c r="E6" s="209" t="s">
        <v>346</v>
      </c>
      <c r="F6" s="243" t="s">
        <v>396</v>
      </c>
      <c r="G6" s="221" t="s">
        <v>366</v>
      </c>
      <c r="P6" s="232" t="s">
        <v>417</v>
      </c>
      <c r="Q6" s="232"/>
      <c r="R6" s="232"/>
      <c r="S6" s="232"/>
      <c r="T6" s="232"/>
      <c r="U6" s="232"/>
      <c r="V6" s="232"/>
      <c r="W6" s="232"/>
      <c r="X6" s="232"/>
    </row>
    <row r="7" spans="1:24" ht="24.75" customHeight="1">
      <c r="A7" s="221" t="s">
        <v>76</v>
      </c>
      <c r="B7" s="209" t="s">
        <v>343</v>
      </c>
      <c r="C7" s="209">
        <v>1</v>
      </c>
      <c r="D7" s="221" t="s">
        <v>347</v>
      </c>
      <c r="E7" s="221" t="s">
        <v>348</v>
      </c>
      <c r="F7" s="222">
        <f>+D10*61%</f>
        <v>9.9081367759944179</v>
      </c>
      <c r="G7" s="215" t="e">
        <f>+#REF!</f>
        <v>#REF!</v>
      </c>
      <c r="H7" s="752"/>
      <c r="I7" s="752"/>
      <c r="J7" s="752"/>
      <c r="K7" s="752"/>
      <c r="L7" s="752"/>
      <c r="M7" s="752"/>
      <c r="N7" s="752"/>
      <c r="O7" s="752"/>
      <c r="P7" s="232" t="s">
        <v>418</v>
      </c>
      <c r="Q7" s="232"/>
      <c r="R7" s="232"/>
      <c r="S7" s="232"/>
      <c r="T7" s="232"/>
      <c r="U7" s="232"/>
      <c r="V7" s="232"/>
      <c r="W7" s="232"/>
      <c r="X7" s="232"/>
    </row>
    <row r="8" spans="1:24" ht="21" customHeight="1">
      <c r="A8" s="221" t="s">
        <v>76</v>
      </c>
      <c r="B8" s="209" t="s">
        <v>344</v>
      </c>
      <c r="C8" s="209">
        <v>1</v>
      </c>
      <c r="D8" s="221" t="s">
        <v>349</v>
      </c>
      <c r="E8" s="221" t="s">
        <v>350</v>
      </c>
      <c r="F8" s="222">
        <f>+D10*39%</f>
        <v>6.3347103977669228</v>
      </c>
      <c r="G8" s="215" t="e">
        <f>+#REF!</f>
        <v>#REF!</v>
      </c>
      <c r="H8" s="752"/>
      <c r="I8" s="752"/>
      <c r="J8" s="752"/>
      <c r="K8" s="752"/>
      <c r="L8" s="752"/>
      <c r="M8" s="752"/>
      <c r="N8" s="752"/>
      <c r="O8" s="752"/>
      <c r="P8" s="232" t="s">
        <v>419</v>
      </c>
      <c r="Q8" s="232"/>
      <c r="R8" s="232"/>
      <c r="S8" s="232"/>
      <c r="T8" s="232"/>
      <c r="U8" s="232"/>
      <c r="V8" s="232"/>
      <c r="W8" s="232"/>
      <c r="X8" s="232"/>
    </row>
    <row r="9" spans="1:24" ht="18.75" customHeight="1">
      <c r="A9" s="209" t="s">
        <v>401</v>
      </c>
      <c r="B9" s="221"/>
      <c r="C9" s="209">
        <v>11638</v>
      </c>
      <c r="D9" s="209"/>
      <c r="E9" s="209"/>
      <c r="F9" s="209"/>
      <c r="G9" s="209"/>
      <c r="P9" s="232" t="s">
        <v>420</v>
      </c>
      <c r="Q9" s="232"/>
      <c r="R9" s="232"/>
      <c r="S9" s="232"/>
      <c r="T9" s="232"/>
      <c r="U9" s="232"/>
      <c r="V9" s="232"/>
      <c r="W9" s="232"/>
      <c r="X9" s="232"/>
    </row>
    <row r="10" spans="1:24" ht="18" customHeight="1">
      <c r="A10" s="221" t="s">
        <v>397</v>
      </c>
      <c r="B10" s="222">
        <f>1433/4</f>
        <v>358.25</v>
      </c>
      <c r="C10" s="222">
        <f>+C9/B10</f>
        <v>32.485694347522681</v>
      </c>
      <c r="D10" s="222">
        <f>+C10/2</f>
        <v>16.242847173761341</v>
      </c>
      <c r="E10" s="209"/>
      <c r="F10" s="222"/>
      <c r="G10" s="222"/>
      <c r="H10" s="208"/>
      <c r="P10" s="232"/>
      <c r="Q10" s="232"/>
      <c r="R10" s="232"/>
      <c r="S10" s="232"/>
      <c r="T10" s="232"/>
      <c r="U10" s="232"/>
      <c r="V10" s="232"/>
      <c r="W10" s="232"/>
      <c r="X10" s="232"/>
    </row>
    <row r="11" spans="1:24" ht="12" hidden="1" customHeight="1">
      <c r="F11" s="220"/>
      <c r="P11" s="99" t="s">
        <v>421</v>
      </c>
      <c r="Q11" s="99"/>
      <c r="R11" s="99"/>
      <c r="S11" s="99"/>
      <c r="T11" s="99"/>
      <c r="U11" s="99"/>
      <c r="V11" s="99"/>
      <c r="W11" s="99"/>
      <c r="X11" s="232"/>
    </row>
    <row r="12" spans="1:24" ht="12" customHeight="1" thickBot="1">
      <c r="P12" s="99" t="s">
        <v>422</v>
      </c>
      <c r="Q12" s="99"/>
      <c r="R12" s="99"/>
      <c r="S12" s="99"/>
      <c r="T12" s="99"/>
      <c r="U12" s="99"/>
      <c r="V12" s="99"/>
      <c r="W12" s="99"/>
      <c r="X12" s="232"/>
    </row>
    <row r="13" spans="1:24" ht="15">
      <c r="A13" s="210"/>
      <c r="B13" s="223" t="s">
        <v>371</v>
      </c>
      <c r="C13" s="223" t="s">
        <v>370</v>
      </c>
      <c r="D13" s="223" t="s">
        <v>372</v>
      </c>
      <c r="E13" s="223" t="s">
        <v>373</v>
      </c>
      <c r="F13" s="223" t="s">
        <v>374</v>
      </c>
      <c r="G13" s="223" t="s">
        <v>375</v>
      </c>
      <c r="H13" s="223" t="s">
        <v>376</v>
      </c>
      <c r="I13" s="223" t="s">
        <v>377</v>
      </c>
      <c r="J13" s="223" t="s">
        <v>378</v>
      </c>
      <c r="K13" s="223" t="s">
        <v>379</v>
      </c>
      <c r="L13" s="223" t="s">
        <v>380</v>
      </c>
      <c r="M13" s="223" t="s">
        <v>381</v>
      </c>
      <c r="N13" s="224" t="s">
        <v>2</v>
      </c>
      <c r="P13" s="99" t="s">
        <v>423</v>
      </c>
      <c r="Q13" s="99"/>
      <c r="R13" s="99"/>
      <c r="S13" s="99"/>
      <c r="T13" s="99"/>
      <c r="U13" s="99"/>
      <c r="V13" s="99"/>
      <c r="W13" s="99"/>
      <c r="X13" s="232"/>
    </row>
    <row r="14" spans="1:24" ht="15">
      <c r="A14" s="211" t="s">
        <v>137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12"/>
      <c r="P14" s="232" t="s">
        <v>424</v>
      </c>
      <c r="Q14" s="232"/>
      <c r="R14" s="232"/>
      <c r="S14" s="232"/>
      <c r="T14" s="232"/>
      <c r="U14" s="232"/>
      <c r="V14" s="232"/>
      <c r="W14" s="232"/>
      <c r="X14" s="232"/>
    </row>
    <row r="15" spans="1:24" ht="21" customHeight="1">
      <c r="A15" s="228" t="s">
        <v>294</v>
      </c>
      <c r="B15" s="209">
        <v>0</v>
      </c>
      <c r="C15" s="209">
        <v>0</v>
      </c>
      <c r="D15" s="215" t="e">
        <f>+(F8*G8)</f>
        <v>#REF!</v>
      </c>
      <c r="E15" s="215">
        <v>0</v>
      </c>
      <c r="F15" s="209">
        <v>0</v>
      </c>
      <c r="G15" s="209">
        <v>0</v>
      </c>
      <c r="H15" s="209">
        <v>0</v>
      </c>
      <c r="I15" s="209">
        <v>0</v>
      </c>
      <c r="J15" s="215" t="e">
        <f>+F7*G7</f>
        <v>#REF!</v>
      </c>
      <c r="K15" s="215"/>
      <c r="L15" s="209">
        <v>0</v>
      </c>
      <c r="M15" s="209">
        <v>0</v>
      </c>
      <c r="N15" s="213" t="e">
        <f>SUM(B15:M15)</f>
        <v>#REF!</v>
      </c>
      <c r="P15" s="232" t="s">
        <v>425</v>
      </c>
      <c r="Q15" s="232"/>
      <c r="R15" s="232"/>
      <c r="S15" s="232"/>
      <c r="T15" s="232"/>
      <c r="U15" s="232"/>
      <c r="V15" s="232"/>
      <c r="W15" s="232"/>
      <c r="X15" s="232"/>
    </row>
    <row r="16" spans="1:24" ht="24">
      <c r="A16" s="228" t="s">
        <v>318</v>
      </c>
      <c r="B16" s="209">
        <v>150</v>
      </c>
      <c r="C16" s="209">
        <v>150</v>
      </c>
      <c r="D16" s="215">
        <v>0</v>
      </c>
      <c r="E16" s="215">
        <v>0</v>
      </c>
      <c r="F16" s="209">
        <v>160</v>
      </c>
      <c r="G16" s="209">
        <v>0</v>
      </c>
      <c r="H16" s="209">
        <v>150</v>
      </c>
      <c r="I16" s="209">
        <v>120</v>
      </c>
      <c r="J16" s="215">
        <v>0</v>
      </c>
      <c r="K16" s="215">
        <v>0</v>
      </c>
      <c r="L16" s="209">
        <v>150</v>
      </c>
      <c r="M16" s="209">
        <v>150</v>
      </c>
      <c r="N16" s="213">
        <f t="shared" ref="N16:N45" si="0">SUM(B16:M16)</f>
        <v>1030</v>
      </c>
      <c r="P16" s="232" t="s">
        <v>426</v>
      </c>
      <c r="Q16" s="232"/>
      <c r="R16" s="232"/>
      <c r="S16" s="232"/>
      <c r="T16" s="232"/>
      <c r="U16" s="232"/>
      <c r="V16" s="232"/>
      <c r="W16" s="232"/>
      <c r="X16" s="232"/>
    </row>
    <row r="17" spans="1:24" ht="15">
      <c r="A17" s="214" t="s">
        <v>368</v>
      </c>
      <c r="B17" s="209">
        <v>0</v>
      </c>
      <c r="C17" s="209">
        <v>0</v>
      </c>
      <c r="D17" s="215">
        <v>0</v>
      </c>
      <c r="E17" s="215">
        <v>600</v>
      </c>
      <c r="F17" s="209"/>
      <c r="G17" s="209">
        <v>0</v>
      </c>
      <c r="H17" s="209">
        <v>0</v>
      </c>
      <c r="I17" s="209">
        <v>0</v>
      </c>
      <c r="J17" s="215">
        <v>0</v>
      </c>
      <c r="K17" s="215">
        <v>500</v>
      </c>
      <c r="L17" s="215">
        <v>0</v>
      </c>
      <c r="M17" s="209">
        <v>400</v>
      </c>
      <c r="N17" s="213">
        <f t="shared" si="0"/>
        <v>1500</v>
      </c>
      <c r="P17" s="232"/>
      <c r="Q17" s="232"/>
      <c r="R17" s="232"/>
      <c r="S17" s="232"/>
      <c r="T17" s="232"/>
      <c r="U17" s="232"/>
      <c r="V17" s="232"/>
      <c r="W17" s="232"/>
      <c r="X17" s="232"/>
    </row>
    <row r="18" spans="1:24" ht="15">
      <c r="A18" s="214" t="s">
        <v>153</v>
      </c>
      <c r="B18" s="239">
        <f>SUM(B15:B17)</f>
        <v>150</v>
      </c>
      <c r="C18" s="239">
        <f t="shared" ref="C18:M18" si="1">SUM(C15:C17)</f>
        <v>150</v>
      </c>
      <c r="D18" s="239" t="e">
        <f t="shared" si="1"/>
        <v>#REF!</v>
      </c>
      <c r="E18" s="239">
        <f t="shared" si="1"/>
        <v>600</v>
      </c>
      <c r="F18" s="239">
        <f t="shared" si="1"/>
        <v>160</v>
      </c>
      <c r="G18" s="239">
        <f t="shared" si="1"/>
        <v>0</v>
      </c>
      <c r="H18" s="239">
        <f t="shared" si="1"/>
        <v>150</v>
      </c>
      <c r="I18" s="239">
        <f t="shared" si="1"/>
        <v>120</v>
      </c>
      <c r="J18" s="239" t="e">
        <f t="shared" si="1"/>
        <v>#REF!</v>
      </c>
      <c r="K18" s="239">
        <f t="shared" si="1"/>
        <v>500</v>
      </c>
      <c r="L18" s="239">
        <f t="shared" si="1"/>
        <v>150</v>
      </c>
      <c r="M18" s="239">
        <f t="shared" si="1"/>
        <v>550</v>
      </c>
      <c r="N18" s="213" t="e">
        <f t="shared" si="0"/>
        <v>#REF!</v>
      </c>
      <c r="P18" s="232" t="s">
        <v>403</v>
      </c>
      <c r="Q18" s="232"/>
      <c r="R18" s="232"/>
      <c r="S18" s="232"/>
      <c r="T18" s="232"/>
      <c r="U18" s="232"/>
      <c r="V18" s="232"/>
      <c r="W18" s="232"/>
      <c r="X18" s="232"/>
    </row>
    <row r="19" spans="1:24" ht="15">
      <c r="A19" s="214"/>
      <c r="B19" s="209"/>
      <c r="C19" s="209"/>
      <c r="D19" s="215"/>
      <c r="E19" s="215"/>
      <c r="F19" s="209"/>
      <c r="G19" s="209"/>
      <c r="H19" s="209"/>
      <c r="I19" s="209"/>
      <c r="J19" s="215"/>
      <c r="K19" s="215"/>
      <c r="L19" s="209"/>
      <c r="M19" s="209"/>
      <c r="N19" s="213">
        <f t="shared" si="0"/>
        <v>0</v>
      </c>
      <c r="P19" s="232" t="s">
        <v>427</v>
      </c>
      <c r="Q19" s="232"/>
      <c r="R19" s="232"/>
      <c r="S19" s="232"/>
      <c r="T19" s="232"/>
      <c r="U19" s="232"/>
      <c r="V19" s="232"/>
      <c r="W19" s="232"/>
      <c r="X19" s="232"/>
    </row>
    <row r="20" spans="1:24" ht="15">
      <c r="A20" s="218" t="s">
        <v>154</v>
      </c>
      <c r="B20" s="209"/>
      <c r="C20" s="209"/>
      <c r="D20" s="215"/>
      <c r="E20" s="215"/>
      <c r="F20" s="209"/>
      <c r="G20" s="209"/>
      <c r="H20" s="209"/>
      <c r="I20" s="209"/>
      <c r="J20" s="215"/>
      <c r="K20" s="215"/>
      <c r="L20" s="209"/>
      <c r="M20" s="209"/>
      <c r="N20" s="213">
        <f t="shared" si="0"/>
        <v>0</v>
      </c>
      <c r="P20" s="232" t="s">
        <v>402</v>
      </c>
      <c r="Q20" s="232"/>
      <c r="R20" s="232"/>
      <c r="S20" s="232"/>
      <c r="T20" s="232"/>
      <c r="U20" s="232"/>
      <c r="V20" s="232"/>
      <c r="W20" s="232"/>
      <c r="X20" s="232"/>
    </row>
    <row r="21" spans="1:24" ht="21" customHeight="1">
      <c r="A21" s="228" t="s">
        <v>295</v>
      </c>
      <c r="B21" s="209">
        <v>50</v>
      </c>
      <c r="C21" s="209">
        <v>50</v>
      </c>
      <c r="D21" s="209">
        <v>50</v>
      </c>
      <c r="E21" s="209">
        <v>50</v>
      </c>
      <c r="F21" s="209">
        <v>50</v>
      </c>
      <c r="G21" s="209">
        <v>50</v>
      </c>
      <c r="H21" s="209">
        <v>50</v>
      </c>
      <c r="I21" s="209">
        <v>50</v>
      </c>
      <c r="J21" s="209">
        <v>50</v>
      </c>
      <c r="K21" s="209">
        <v>50</v>
      </c>
      <c r="L21" s="209">
        <v>50</v>
      </c>
      <c r="M21" s="209">
        <v>85</v>
      </c>
      <c r="N21" s="213">
        <f t="shared" si="0"/>
        <v>635</v>
      </c>
      <c r="P21" s="232"/>
      <c r="Q21" s="232"/>
      <c r="R21" s="232"/>
      <c r="S21" s="232"/>
      <c r="T21" s="232"/>
      <c r="U21" s="232"/>
      <c r="V21" s="232"/>
      <c r="W21" s="232"/>
      <c r="X21" s="232"/>
    </row>
    <row r="22" spans="1:24" ht="15">
      <c r="A22" s="228" t="s">
        <v>296</v>
      </c>
      <c r="B22" s="209">
        <v>10</v>
      </c>
      <c r="C22" s="209">
        <v>10</v>
      </c>
      <c r="D22" s="215">
        <v>10</v>
      </c>
      <c r="E22" s="215">
        <v>10</v>
      </c>
      <c r="F22" s="209">
        <v>10</v>
      </c>
      <c r="G22" s="209">
        <v>10</v>
      </c>
      <c r="H22" s="209">
        <v>10</v>
      </c>
      <c r="I22" s="209">
        <v>10</v>
      </c>
      <c r="J22" s="215">
        <v>40</v>
      </c>
      <c r="K22" s="215">
        <v>10</v>
      </c>
      <c r="L22" s="209">
        <v>10</v>
      </c>
      <c r="M22" s="209">
        <v>10</v>
      </c>
      <c r="N22" s="213">
        <f t="shared" si="0"/>
        <v>150</v>
      </c>
      <c r="P22" s="232" t="s">
        <v>404</v>
      </c>
      <c r="Q22" s="232"/>
      <c r="R22" s="232"/>
      <c r="S22" s="232"/>
      <c r="T22" s="232"/>
      <c r="U22" s="232"/>
      <c r="V22" s="232"/>
      <c r="W22" s="232"/>
      <c r="X22" s="232"/>
    </row>
    <row r="23" spans="1:24" ht="15">
      <c r="A23" s="228" t="s">
        <v>297</v>
      </c>
      <c r="B23" s="209">
        <v>5</v>
      </c>
      <c r="C23" s="209">
        <v>5</v>
      </c>
      <c r="D23" s="215">
        <v>20</v>
      </c>
      <c r="E23" s="215">
        <v>5</v>
      </c>
      <c r="F23" s="209">
        <v>5</v>
      </c>
      <c r="G23" s="209">
        <v>5</v>
      </c>
      <c r="H23" s="209">
        <v>5</v>
      </c>
      <c r="I23" s="209">
        <v>5</v>
      </c>
      <c r="J23" s="215">
        <v>5</v>
      </c>
      <c r="K23" s="215">
        <v>5</v>
      </c>
      <c r="L23" s="209">
        <v>5</v>
      </c>
      <c r="M23" s="209">
        <v>25</v>
      </c>
      <c r="N23" s="213">
        <f t="shared" si="0"/>
        <v>95</v>
      </c>
      <c r="P23" s="232" t="s">
        <v>428</v>
      </c>
      <c r="Q23" s="232"/>
      <c r="R23" s="232"/>
      <c r="S23" s="232"/>
      <c r="T23" s="232"/>
      <c r="U23" s="232"/>
      <c r="V23" s="232"/>
      <c r="W23" s="232"/>
      <c r="X23" s="232"/>
    </row>
    <row r="24" spans="1:24" ht="12.75" customHeight="1">
      <c r="A24" s="228" t="s">
        <v>298</v>
      </c>
      <c r="B24" s="209">
        <v>5</v>
      </c>
      <c r="C24" s="209">
        <v>5</v>
      </c>
      <c r="D24" s="209">
        <v>5</v>
      </c>
      <c r="E24" s="209">
        <v>5</v>
      </c>
      <c r="F24" s="209">
        <v>5</v>
      </c>
      <c r="G24" s="209">
        <v>5</v>
      </c>
      <c r="H24" s="209">
        <v>5</v>
      </c>
      <c r="I24" s="209">
        <v>5</v>
      </c>
      <c r="J24" s="209">
        <v>5</v>
      </c>
      <c r="K24" s="209">
        <v>5</v>
      </c>
      <c r="L24" s="209">
        <v>5</v>
      </c>
      <c r="M24" s="209">
        <v>5</v>
      </c>
      <c r="N24" s="213">
        <f t="shared" si="0"/>
        <v>60</v>
      </c>
      <c r="P24" s="232" t="s">
        <v>429</v>
      </c>
      <c r="Q24" s="232"/>
      <c r="R24" s="232"/>
      <c r="S24" s="232"/>
      <c r="T24" s="232"/>
      <c r="U24" s="232"/>
      <c r="V24" s="232"/>
      <c r="W24" s="232"/>
      <c r="X24" s="232"/>
    </row>
    <row r="25" spans="1:24" ht="12.75" customHeight="1">
      <c r="A25" s="228" t="s">
        <v>58</v>
      </c>
      <c r="B25" s="209">
        <v>15</v>
      </c>
      <c r="C25" s="209">
        <v>15</v>
      </c>
      <c r="D25" s="209">
        <v>15</v>
      </c>
      <c r="E25" s="209">
        <v>15</v>
      </c>
      <c r="F25" s="209">
        <v>10</v>
      </c>
      <c r="G25" s="209">
        <v>15</v>
      </c>
      <c r="H25" s="209">
        <v>15</v>
      </c>
      <c r="I25" s="209">
        <v>15</v>
      </c>
      <c r="J25" s="215">
        <v>15</v>
      </c>
      <c r="K25" s="215">
        <v>15</v>
      </c>
      <c r="L25" s="209">
        <v>10</v>
      </c>
      <c r="M25" s="209">
        <v>20</v>
      </c>
      <c r="N25" s="213">
        <f t="shared" si="0"/>
        <v>175</v>
      </c>
      <c r="P25" s="232"/>
      <c r="Q25" s="232"/>
      <c r="R25" s="232"/>
      <c r="S25" s="232"/>
      <c r="T25" s="232"/>
      <c r="U25" s="232"/>
      <c r="V25" s="232"/>
      <c r="W25" s="232"/>
      <c r="X25" s="232"/>
    </row>
    <row r="26" spans="1:24" ht="12.75" customHeight="1">
      <c r="A26" s="229" t="s">
        <v>352</v>
      </c>
      <c r="B26" s="239">
        <f>SUM(B21:B25)</f>
        <v>85</v>
      </c>
      <c r="C26" s="239">
        <f t="shared" ref="C26:M26" si="2">SUM(C21:C25)</f>
        <v>85</v>
      </c>
      <c r="D26" s="239">
        <f t="shared" si="2"/>
        <v>100</v>
      </c>
      <c r="E26" s="239">
        <f t="shared" si="2"/>
        <v>85</v>
      </c>
      <c r="F26" s="239">
        <f t="shared" si="2"/>
        <v>80</v>
      </c>
      <c r="G26" s="239">
        <f t="shared" si="2"/>
        <v>85</v>
      </c>
      <c r="H26" s="239">
        <f t="shared" si="2"/>
        <v>85</v>
      </c>
      <c r="I26" s="239">
        <f t="shared" si="2"/>
        <v>85</v>
      </c>
      <c r="J26" s="239">
        <f t="shared" si="2"/>
        <v>115</v>
      </c>
      <c r="K26" s="239">
        <f t="shared" si="2"/>
        <v>85</v>
      </c>
      <c r="L26" s="239">
        <f t="shared" si="2"/>
        <v>80</v>
      </c>
      <c r="M26" s="239">
        <f t="shared" si="2"/>
        <v>145</v>
      </c>
      <c r="N26" s="213">
        <f t="shared" si="0"/>
        <v>1115</v>
      </c>
      <c r="P26" s="232" t="s">
        <v>405</v>
      </c>
      <c r="Q26" s="232"/>
      <c r="R26" s="232"/>
      <c r="S26" s="232"/>
      <c r="T26" s="232"/>
      <c r="U26" s="232"/>
      <c r="V26" s="232"/>
      <c r="W26" s="232"/>
      <c r="X26" s="232"/>
    </row>
    <row r="27" spans="1:24" ht="15">
      <c r="A27" s="228" t="s">
        <v>358</v>
      </c>
      <c r="B27" s="209"/>
      <c r="C27" s="209"/>
      <c r="D27" s="209"/>
      <c r="E27" s="209"/>
      <c r="F27" s="209"/>
      <c r="G27" s="209"/>
      <c r="H27" s="209"/>
      <c r="I27" s="209"/>
      <c r="J27" s="215"/>
      <c r="K27" s="215"/>
      <c r="L27" s="209"/>
      <c r="M27" s="209"/>
      <c r="N27" s="213">
        <f t="shared" si="0"/>
        <v>0</v>
      </c>
      <c r="P27" s="232" t="s">
        <v>430</v>
      </c>
      <c r="Q27" s="232"/>
      <c r="R27" s="232"/>
      <c r="S27" s="232"/>
      <c r="T27" s="232"/>
      <c r="U27" s="232"/>
      <c r="V27" s="232"/>
      <c r="W27" s="232"/>
      <c r="X27" s="232"/>
    </row>
    <row r="28" spans="1:24" ht="15">
      <c r="A28" s="230" t="s">
        <v>356</v>
      </c>
      <c r="B28" s="209"/>
      <c r="C28" s="209"/>
      <c r="D28" s="209"/>
      <c r="E28" s="209">
        <v>0</v>
      </c>
      <c r="F28" s="209"/>
      <c r="G28" s="209"/>
      <c r="H28" s="209"/>
      <c r="I28" s="209"/>
      <c r="J28" s="215"/>
      <c r="K28" s="215">
        <v>0</v>
      </c>
      <c r="L28" s="209"/>
      <c r="M28" s="209"/>
      <c r="N28" s="213">
        <f t="shared" si="0"/>
        <v>0</v>
      </c>
      <c r="P28" s="232"/>
      <c r="Q28" s="232"/>
      <c r="R28" s="232"/>
      <c r="S28" s="232"/>
      <c r="T28" s="232"/>
      <c r="U28" s="232"/>
      <c r="V28" s="232"/>
      <c r="W28" s="232"/>
      <c r="X28" s="232"/>
    </row>
    <row r="29" spans="1:24" ht="15">
      <c r="A29" s="230" t="s">
        <v>329</v>
      </c>
      <c r="B29" s="209"/>
      <c r="C29" s="209"/>
      <c r="D29" s="209"/>
      <c r="E29" s="215">
        <f>+(F7*165)/110</f>
        <v>14.862205163991627</v>
      </c>
      <c r="F29" s="209"/>
      <c r="G29" s="209"/>
      <c r="H29" s="209"/>
      <c r="I29" s="209"/>
      <c r="J29" s="215"/>
      <c r="K29" s="215">
        <f>+(F8*165)/110</f>
        <v>9.5020655966503842</v>
      </c>
      <c r="L29" s="209"/>
      <c r="M29" s="209"/>
      <c r="N29" s="213">
        <f t="shared" si="0"/>
        <v>24.364270760642011</v>
      </c>
      <c r="P29" s="232" t="s">
        <v>431</v>
      </c>
      <c r="Q29" s="232"/>
      <c r="R29" s="232"/>
      <c r="S29" s="232"/>
      <c r="T29" s="232"/>
      <c r="U29" s="232"/>
      <c r="V29" s="232"/>
      <c r="W29" s="232"/>
      <c r="X29" s="232"/>
    </row>
    <row r="30" spans="1:24" ht="15">
      <c r="A30" s="230" t="s">
        <v>330</v>
      </c>
      <c r="B30" s="209"/>
      <c r="C30" s="209"/>
      <c r="D30" s="209"/>
      <c r="E30" s="215">
        <f>+(F7*377)/110</f>
        <v>33.957886950453599</v>
      </c>
      <c r="F30" s="209"/>
      <c r="G30" s="209"/>
      <c r="H30" s="209"/>
      <c r="I30" s="209"/>
      <c r="J30" s="215"/>
      <c r="K30" s="215">
        <f>+(F8*377)/110</f>
        <v>21.710780181437542</v>
      </c>
      <c r="L30" s="209"/>
      <c r="M30" s="209"/>
      <c r="N30" s="213">
        <f t="shared" si="0"/>
        <v>55.668667131891141</v>
      </c>
      <c r="P30" s="232" t="s">
        <v>437</v>
      </c>
      <c r="Q30" s="232"/>
      <c r="R30" s="232"/>
      <c r="S30" s="232"/>
      <c r="T30" s="232"/>
      <c r="U30" s="232"/>
      <c r="V30" s="232"/>
      <c r="W30" s="232"/>
      <c r="X30" s="232"/>
    </row>
    <row r="31" spans="1:24" ht="15">
      <c r="A31" s="230" t="s">
        <v>357</v>
      </c>
      <c r="B31" s="209"/>
      <c r="C31" s="209"/>
      <c r="D31" s="209"/>
      <c r="E31" s="215">
        <f>+(F7*193)/110</f>
        <v>17.38427634333566</v>
      </c>
      <c r="F31" s="209"/>
      <c r="G31" s="209"/>
      <c r="H31" s="209"/>
      <c r="I31" s="209"/>
      <c r="J31" s="215"/>
      <c r="K31" s="215">
        <f>+(F8*193)/110</f>
        <v>11.114537334263783</v>
      </c>
      <c r="L31" s="209"/>
      <c r="M31" s="209"/>
      <c r="N31" s="213">
        <f t="shared" si="0"/>
        <v>28.498813677599443</v>
      </c>
      <c r="P31" s="232" t="s">
        <v>433</v>
      </c>
      <c r="Q31" s="232"/>
      <c r="R31" s="232"/>
      <c r="S31" s="232"/>
      <c r="T31" s="232"/>
      <c r="U31" s="232"/>
      <c r="V31" s="232"/>
      <c r="W31" s="232"/>
      <c r="X31" s="232"/>
    </row>
    <row r="32" spans="1:24" ht="15">
      <c r="A32" s="230" t="s">
        <v>365</v>
      </c>
      <c r="B32" s="209"/>
      <c r="C32" s="209"/>
      <c r="D32" s="209"/>
      <c r="E32" s="209">
        <v>25</v>
      </c>
      <c r="F32" s="209"/>
      <c r="G32" s="209"/>
      <c r="H32" s="209"/>
      <c r="I32" s="209"/>
      <c r="J32" s="215"/>
      <c r="K32" s="215">
        <v>25</v>
      </c>
      <c r="L32" s="209"/>
      <c r="M32" s="209"/>
      <c r="N32" s="213">
        <f t="shared" si="0"/>
        <v>50</v>
      </c>
      <c r="P32" s="232" t="s">
        <v>432</v>
      </c>
      <c r="Q32" s="232"/>
      <c r="R32" s="232"/>
      <c r="S32" s="232"/>
      <c r="T32" s="232"/>
      <c r="U32" s="232"/>
      <c r="V32" s="232"/>
      <c r="W32" s="232"/>
      <c r="X32" s="232"/>
    </row>
    <row r="33" spans="1:24" ht="36" customHeight="1">
      <c r="A33" s="228" t="s">
        <v>361</v>
      </c>
      <c r="B33" s="209"/>
      <c r="C33" s="239"/>
      <c r="D33" s="239"/>
      <c r="E33" s="226">
        <f>SUM(E28:E32)</f>
        <v>91.204368457780888</v>
      </c>
      <c r="F33" s="239"/>
      <c r="G33" s="239"/>
      <c r="H33" s="239"/>
      <c r="I33" s="239"/>
      <c r="J33" s="226"/>
      <c r="K33" s="226">
        <f>SUM(K28:K32)</f>
        <v>67.327383112351711</v>
      </c>
      <c r="L33" s="239"/>
      <c r="M33" s="239"/>
      <c r="N33" s="213">
        <f t="shared" si="0"/>
        <v>158.5317515701326</v>
      </c>
      <c r="P33" s="232"/>
      <c r="Q33" s="232"/>
      <c r="R33" s="232"/>
      <c r="S33" s="232"/>
      <c r="T33" s="232"/>
      <c r="U33" s="232"/>
      <c r="V33" s="232"/>
      <c r="W33" s="232"/>
      <c r="X33" s="232"/>
    </row>
    <row r="34" spans="1:24" ht="15">
      <c r="A34" s="228" t="s">
        <v>359</v>
      </c>
      <c r="B34" s="209"/>
      <c r="C34" s="209"/>
      <c r="D34" s="209"/>
      <c r="E34" s="209"/>
      <c r="F34" s="209"/>
      <c r="G34" s="209"/>
      <c r="H34" s="209"/>
      <c r="I34" s="209"/>
      <c r="J34" s="215"/>
      <c r="K34" s="215"/>
      <c r="L34" s="209"/>
      <c r="M34" s="209"/>
      <c r="N34" s="213">
        <f t="shared" si="0"/>
        <v>0</v>
      </c>
      <c r="P34" s="232" t="s">
        <v>406</v>
      </c>
      <c r="Q34" s="232"/>
      <c r="R34" s="232"/>
      <c r="S34" s="232"/>
      <c r="T34" s="232"/>
      <c r="U34" s="232"/>
      <c r="V34" s="232"/>
      <c r="W34" s="232"/>
      <c r="X34" s="232"/>
    </row>
    <row r="35" spans="1:24" ht="15">
      <c r="A35" s="230" t="s">
        <v>356</v>
      </c>
      <c r="B35" s="209"/>
      <c r="C35" s="209"/>
      <c r="D35" s="215">
        <v>0</v>
      </c>
      <c r="E35" s="209"/>
      <c r="F35" s="209"/>
      <c r="G35" s="209"/>
      <c r="H35" s="215">
        <v>0</v>
      </c>
      <c r="I35" s="209"/>
      <c r="J35" s="215"/>
      <c r="K35" s="215"/>
      <c r="L35" s="209"/>
      <c r="M35" s="215">
        <v>0</v>
      </c>
      <c r="N35" s="213">
        <f t="shared" si="0"/>
        <v>0</v>
      </c>
      <c r="P35" s="232" t="s">
        <v>407</v>
      </c>
      <c r="Q35" s="232"/>
      <c r="R35" s="232"/>
      <c r="S35" s="232"/>
      <c r="T35" s="232"/>
      <c r="U35" s="232"/>
      <c r="V35" s="232"/>
      <c r="W35" s="232"/>
      <c r="X35" s="232"/>
    </row>
    <row r="36" spans="1:24" ht="15">
      <c r="A36" s="230" t="s">
        <v>360</v>
      </c>
      <c r="B36" s="209"/>
      <c r="C36" s="209"/>
      <c r="D36" s="215">
        <f>+$H$10*7.5</f>
        <v>0</v>
      </c>
      <c r="E36" s="209"/>
      <c r="F36" s="209"/>
      <c r="G36" s="209"/>
      <c r="H36" s="215">
        <f>+$H$10*7.5</f>
        <v>0</v>
      </c>
      <c r="I36" s="209"/>
      <c r="J36" s="209"/>
      <c r="K36" s="209"/>
      <c r="L36" s="209"/>
      <c r="M36" s="215">
        <f>+$H$10*7.5</f>
        <v>0</v>
      </c>
      <c r="N36" s="213">
        <f t="shared" si="0"/>
        <v>0</v>
      </c>
      <c r="P36" s="232" t="s">
        <v>408</v>
      </c>
      <c r="Q36" s="232"/>
      <c r="R36" s="232"/>
      <c r="S36" s="232"/>
      <c r="T36" s="232"/>
      <c r="U36" s="232"/>
      <c r="V36" s="232"/>
      <c r="W36" s="232"/>
      <c r="X36" s="232"/>
    </row>
    <row r="37" spans="1:24" ht="26.25" customHeight="1" thickBot="1">
      <c r="A37" s="230" t="s">
        <v>369</v>
      </c>
      <c r="B37" s="209"/>
      <c r="C37" s="209"/>
      <c r="D37" s="215">
        <v>15</v>
      </c>
      <c r="E37" s="209"/>
      <c r="F37" s="209"/>
      <c r="G37" s="209"/>
      <c r="H37" s="215">
        <v>0</v>
      </c>
      <c r="I37" s="215"/>
      <c r="J37" s="215">
        <v>15</v>
      </c>
      <c r="K37" s="209"/>
      <c r="L37" s="209"/>
      <c r="M37" s="215">
        <v>0</v>
      </c>
      <c r="N37" s="213">
        <f t="shared" si="0"/>
        <v>30</v>
      </c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4" ht="25.5" customHeight="1" thickBot="1">
      <c r="A38" s="228" t="s">
        <v>362</v>
      </c>
      <c r="B38" s="209"/>
      <c r="C38" s="239"/>
      <c r="D38" s="226">
        <f>SUM(D34:D37)</f>
        <v>15</v>
      </c>
      <c r="E38" s="239"/>
      <c r="F38" s="239"/>
      <c r="G38" s="239"/>
      <c r="H38" s="226">
        <v>0</v>
      </c>
      <c r="I38" s="226"/>
      <c r="J38" s="226">
        <f>SUM(J35:J37)</f>
        <v>15</v>
      </c>
      <c r="K38" s="239"/>
      <c r="L38" s="239"/>
      <c r="M38" s="226">
        <v>0</v>
      </c>
      <c r="N38" s="213">
        <f t="shared" si="0"/>
        <v>30</v>
      </c>
      <c r="P38" s="232"/>
      <c r="Q38" s="232"/>
      <c r="R38" s="232"/>
      <c r="S38" s="232"/>
      <c r="T38" s="746" t="s">
        <v>436</v>
      </c>
      <c r="U38" s="747"/>
      <c r="V38" s="747"/>
      <c r="W38" s="233">
        <v>719</v>
      </c>
      <c r="X38" s="232"/>
    </row>
    <row r="39" spans="1:24" ht="15">
      <c r="A39" s="228" t="s">
        <v>367</v>
      </c>
      <c r="B39" s="209">
        <v>0</v>
      </c>
      <c r="C39" s="114">
        <v>0</v>
      </c>
      <c r="D39" s="215">
        <v>0</v>
      </c>
      <c r="E39" s="215">
        <v>0</v>
      </c>
      <c r="F39" s="215">
        <f t="shared" ref="F39:L39" si="3">+F17</f>
        <v>0</v>
      </c>
      <c r="G39" s="215">
        <f t="shared" si="3"/>
        <v>0</v>
      </c>
      <c r="H39" s="215">
        <f>+G39+H17</f>
        <v>0</v>
      </c>
      <c r="I39" s="215"/>
      <c r="J39" s="215">
        <v>0</v>
      </c>
      <c r="K39" s="215">
        <v>0</v>
      </c>
      <c r="L39" s="215">
        <f t="shared" si="3"/>
        <v>0</v>
      </c>
      <c r="M39" s="215">
        <v>0</v>
      </c>
      <c r="N39" s="213">
        <f t="shared" si="0"/>
        <v>0</v>
      </c>
      <c r="P39" s="232"/>
      <c r="Q39" s="232"/>
      <c r="R39" s="232"/>
      <c r="S39" s="232"/>
      <c r="T39" s="241" t="s">
        <v>409</v>
      </c>
      <c r="U39" s="234"/>
      <c r="V39" s="242" t="s">
        <v>394</v>
      </c>
      <c r="W39" s="234"/>
      <c r="X39" s="232"/>
    </row>
    <row r="40" spans="1:24" ht="15">
      <c r="A40" s="228" t="s">
        <v>353</v>
      </c>
      <c r="B40" s="209"/>
      <c r="C40" s="209"/>
      <c r="D40" s="215">
        <v>0</v>
      </c>
      <c r="E40" s="215"/>
      <c r="F40" s="215"/>
      <c r="G40" s="215"/>
      <c r="H40" s="215">
        <f>+H39</f>
        <v>0</v>
      </c>
      <c r="I40" s="215">
        <v>0</v>
      </c>
      <c r="J40" s="215">
        <v>600</v>
      </c>
      <c r="K40" s="215"/>
      <c r="L40" s="215"/>
      <c r="M40" s="215">
        <v>500</v>
      </c>
      <c r="N40" s="213">
        <f t="shared" si="0"/>
        <v>1100</v>
      </c>
      <c r="P40" s="232"/>
      <c r="Q40" s="232"/>
      <c r="R40" s="232"/>
      <c r="S40" s="232"/>
      <c r="T40" s="209" t="s">
        <v>410</v>
      </c>
      <c r="U40" s="235">
        <f>+W38*69%</f>
        <v>496.10999999999996</v>
      </c>
      <c r="V40" s="236" t="e">
        <f>+G7</f>
        <v>#REF!</v>
      </c>
      <c r="W40" s="236" t="e">
        <f>+U40*V40</f>
        <v>#REF!</v>
      </c>
      <c r="X40" s="232"/>
    </row>
    <row r="41" spans="1:24" ht="15">
      <c r="A41" s="228" t="s">
        <v>354</v>
      </c>
      <c r="B41" s="209">
        <f>+B39*0.1</f>
        <v>0</v>
      </c>
      <c r="C41" s="209">
        <f>+C39*0.1</f>
        <v>0</v>
      </c>
      <c r="D41" s="215">
        <f>+D40*0.1</f>
        <v>0</v>
      </c>
      <c r="E41" s="215">
        <f>+$D$17*10%</f>
        <v>0</v>
      </c>
      <c r="F41" s="215">
        <f>+$E$17*10%</f>
        <v>60</v>
      </c>
      <c r="G41" s="215">
        <f t="shared" ref="G41:J41" si="4">+$E$17*10%</f>
        <v>60</v>
      </c>
      <c r="H41" s="215">
        <f t="shared" si="4"/>
        <v>60</v>
      </c>
      <c r="I41" s="215">
        <f t="shared" si="4"/>
        <v>60</v>
      </c>
      <c r="J41" s="215">
        <f t="shared" si="4"/>
        <v>60</v>
      </c>
      <c r="K41" s="215">
        <f>+$K$17*10%</f>
        <v>50</v>
      </c>
      <c r="L41" s="215">
        <f>+$K$17*10%</f>
        <v>50</v>
      </c>
      <c r="M41" s="215">
        <f>+$K$17*10%</f>
        <v>50</v>
      </c>
      <c r="N41" s="213">
        <f t="shared" si="0"/>
        <v>450</v>
      </c>
      <c r="P41" s="232"/>
      <c r="Q41" s="232"/>
      <c r="R41" s="232"/>
      <c r="S41" s="232"/>
      <c r="T41" s="209" t="s">
        <v>411</v>
      </c>
      <c r="U41" s="235">
        <f>+W38*31%</f>
        <v>222.89</v>
      </c>
      <c r="V41" s="236" t="e">
        <f>+G8</f>
        <v>#REF!</v>
      </c>
      <c r="W41" s="236" t="e">
        <f>+U41*V41</f>
        <v>#REF!</v>
      </c>
      <c r="X41" s="232"/>
    </row>
    <row r="42" spans="1:24" ht="24.75">
      <c r="A42" s="228" t="s">
        <v>363</v>
      </c>
      <c r="B42" s="239">
        <f>+B33+B38+B40+B41</f>
        <v>0</v>
      </c>
      <c r="C42" s="239">
        <f>+C33+C38+C40+C41</f>
        <v>0</v>
      </c>
      <c r="D42" s="226">
        <f>+D33+D38+D39+D40+D41</f>
        <v>15</v>
      </c>
      <c r="E42" s="226">
        <f t="shared" ref="E42:M42" si="5">+E33+E38+E39+E40+E41</f>
        <v>91.204368457780888</v>
      </c>
      <c r="F42" s="226">
        <f t="shared" si="5"/>
        <v>60</v>
      </c>
      <c r="G42" s="226">
        <f t="shared" si="5"/>
        <v>60</v>
      </c>
      <c r="H42" s="226">
        <f t="shared" si="5"/>
        <v>60</v>
      </c>
      <c r="I42" s="226">
        <f t="shared" si="5"/>
        <v>60</v>
      </c>
      <c r="J42" s="226">
        <f t="shared" si="5"/>
        <v>675</v>
      </c>
      <c r="K42" s="226">
        <f t="shared" si="5"/>
        <v>117.32738311235171</v>
      </c>
      <c r="L42" s="226">
        <f t="shared" si="5"/>
        <v>50</v>
      </c>
      <c r="M42" s="226">
        <f t="shared" si="5"/>
        <v>550</v>
      </c>
      <c r="N42" s="213">
        <f t="shared" si="0"/>
        <v>1738.5317515701327</v>
      </c>
      <c r="P42" s="232"/>
      <c r="Q42" s="232"/>
      <c r="R42" s="232"/>
      <c r="S42" s="232"/>
      <c r="T42" s="743" t="s">
        <v>382</v>
      </c>
      <c r="U42" s="744"/>
      <c r="V42" s="745"/>
      <c r="W42" s="237" t="e">
        <f>SUM(W40:W41)</f>
        <v>#REF!</v>
      </c>
      <c r="X42" s="232"/>
    </row>
    <row r="43" spans="1:24" ht="15">
      <c r="A43" s="228" t="s">
        <v>138</v>
      </c>
      <c r="B43" s="240">
        <f t="shared" ref="B43:C43" si="6">+B26+B42</f>
        <v>85</v>
      </c>
      <c r="C43" s="226">
        <f t="shared" si="6"/>
        <v>85</v>
      </c>
      <c r="D43" s="226">
        <f>+D26+D42</f>
        <v>115</v>
      </c>
      <c r="E43" s="226">
        <f t="shared" ref="E43:M43" si="7">+E26+E42</f>
        <v>176.2043684577809</v>
      </c>
      <c r="F43" s="226">
        <f t="shared" si="7"/>
        <v>140</v>
      </c>
      <c r="G43" s="226">
        <f t="shared" si="7"/>
        <v>145</v>
      </c>
      <c r="H43" s="226">
        <f t="shared" si="7"/>
        <v>145</v>
      </c>
      <c r="I43" s="226">
        <f t="shared" si="7"/>
        <v>145</v>
      </c>
      <c r="J43" s="226">
        <f t="shared" si="7"/>
        <v>790</v>
      </c>
      <c r="K43" s="226">
        <f t="shared" si="7"/>
        <v>202.3273831123517</v>
      </c>
      <c r="L43" s="226">
        <f t="shared" si="7"/>
        <v>130</v>
      </c>
      <c r="M43" s="226">
        <f t="shared" si="7"/>
        <v>695</v>
      </c>
      <c r="N43" s="213">
        <f t="shared" si="0"/>
        <v>2853.5317515701327</v>
      </c>
      <c r="P43" s="232"/>
      <c r="Q43" s="232"/>
      <c r="R43" s="232"/>
      <c r="S43" s="232"/>
      <c r="T43" s="232"/>
      <c r="U43" s="232"/>
      <c r="V43" s="232"/>
      <c r="W43" s="232"/>
      <c r="X43" s="232"/>
    </row>
    <row r="44" spans="1:24" ht="15">
      <c r="A44" s="229" t="s">
        <v>355</v>
      </c>
      <c r="B44" s="215">
        <f>+B18-B43</f>
        <v>65</v>
      </c>
      <c r="C44" s="215">
        <f t="shared" ref="C44:M44" si="8">+C18-C43</f>
        <v>65</v>
      </c>
      <c r="D44" s="215" t="e">
        <f>+D18-D43</f>
        <v>#REF!</v>
      </c>
      <c r="E44" s="215">
        <f t="shared" si="8"/>
        <v>423.7956315422191</v>
      </c>
      <c r="F44" s="215">
        <f t="shared" si="8"/>
        <v>20</v>
      </c>
      <c r="G44" s="227">
        <f t="shared" si="8"/>
        <v>-145</v>
      </c>
      <c r="H44" s="215">
        <f t="shared" si="8"/>
        <v>5</v>
      </c>
      <c r="I44" s="227">
        <f t="shared" si="8"/>
        <v>-25</v>
      </c>
      <c r="J44" s="227" t="e">
        <f t="shared" si="8"/>
        <v>#REF!</v>
      </c>
      <c r="K44" s="215">
        <f t="shared" si="8"/>
        <v>297.6726168876483</v>
      </c>
      <c r="L44" s="215">
        <f t="shared" si="8"/>
        <v>20</v>
      </c>
      <c r="M44" s="227">
        <f t="shared" si="8"/>
        <v>-145</v>
      </c>
      <c r="N44" s="213" t="e">
        <f>SUM(B44:M44)</f>
        <v>#REF!</v>
      </c>
      <c r="P44" s="232" t="s">
        <v>412</v>
      </c>
      <c r="Q44" s="232"/>
      <c r="R44" s="232"/>
      <c r="S44" s="232"/>
      <c r="T44" s="232"/>
      <c r="U44" s="232"/>
      <c r="V44" s="232"/>
      <c r="W44" s="232"/>
      <c r="X44" s="232"/>
    </row>
    <row r="45" spans="1:24" ht="22.5" customHeight="1" thickBot="1">
      <c r="A45" s="231" t="s">
        <v>364</v>
      </c>
      <c r="B45" s="216">
        <f>+B44</f>
        <v>65</v>
      </c>
      <c r="C45" s="217">
        <f>+C44+B45</f>
        <v>130</v>
      </c>
      <c r="D45" s="217" t="e">
        <f t="shared" ref="D45:M45" si="9">+D44+C45</f>
        <v>#REF!</v>
      </c>
      <c r="E45" s="217" t="e">
        <f t="shared" si="9"/>
        <v>#REF!</v>
      </c>
      <c r="F45" s="217" t="e">
        <f t="shared" si="9"/>
        <v>#REF!</v>
      </c>
      <c r="G45" s="217" t="e">
        <f t="shared" si="9"/>
        <v>#REF!</v>
      </c>
      <c r="H45" s="217" t="e">
        <f t="shared" si="9"/>
        <v>#REF!</v>
      </c>
      <c r="I45" s="217" t="e">
        <f t="shared" si="9"/>
        <v>#REF!</v>
      </c>
      <c r="J45" s="217" t="e">
        <f t="shared" si="9"/>
        <v>#REF!</v>
      </c>
      <c r="K45" s="217" t="e">
        <f t="shared" si="9"/>
        <v>#REF!</v>
      </c>
      <c r="L45" s="217" t="e">
        <f t="shared" si="9"/>
        <v>#REF!</v>
      </c>
      <c r="M45" s="217" t="e">
        <f t="shared" si="9"/>
        <v>#REF!</v>
      </c>
      <c r="N45" s="213" t="e">
        <f t="shared" si="0"/>
        <v>#REF!</v>
      </c>
      <c r="P45" s="232" t="s">
        <v>413</v>
      </c>
      <c r="Q45" s="232"/>
      <c r="R45" s="232"/>
      <c r="S45" s="232"/>
      <c r="T45" s="232"/>
      <c r="U45" s="232"/>
      <c r="V45" s="232"/>
      <c r="W45" s="232"/>
      <c r="X45" s="232"/>
    </row>
    <row r="46" spans="1:24" ht="15">
      <c r="A46" s="219" t="s">
        <v>87</v>
      </c>
      <c r="F46" s="133"/>
      <c r="P46" s="232" t="s">
        <v>414</v>
      </c>
      <c r="Q46" s="232"/>
      <c r="R46" s="232"/>
      <c r="S46" s="232"/>
      <c r="T46" s="232"/>
      <c r="U46" s="232"/>
      <c r="V46" s="232"/>
      <c r="W46" s="232"/>
      <c r="X46" s="232"/>
    </row>
    <row r="47" spans="1:24" ht="15">
      <c r="A47" s="120" t="s">
        <v>400</v>
      </c>
      <c r="P47" s="232" t="s">
        <v>415</v>
      </c>
      <c r="Q47" s="232"/>
      <c r="R47" s="232"/>
      <c r="S47" s="232"/>
      <c r="T47" s="232"/>
      <c r="U47" s="238" t="e">
        <f>+W42*66%</f>
        <v>#REF!</v>
      </c>
      <c r="V47" s="232" t="s">
        <v>416</v>
      </c>
      <c r="W47" s="232"/>
      <c r="X47" s="232"/>
    </row>
    <row r="48" spans="1:24" ht="3" customHeight="1">
      <c r="P48" s="232"/>
      <c r="Q48" s="232"/>
      <c r="R48" s="232"/>
      <c r="S48" s="232"/>
      <c r="T48" s="232"/>
      <c r="U48" s="232"/>
      <c r="V48" s="232"/>
      <c r="W48" s="232"/>
      <c r="X48" s="232"/>
    </row>
    <row r="49" spans="1:24" ht="12.75" customHeight="1">
      <c r="F49" s="225" t="s">
        <v>384</v>
      </c>
      <c r="G49" s="114" t="s">
        <v>127</v>
      </c>
      <c r="P49" s="232"/>
      <c r="Q49" s="232"/>
      <c r="R49" s="232"/>
      <c r="S49" s="232"/>
      <c r="T49" s="232"/>
      <c r="U49" s="232"/>
      <c r="V49" s="232"/>
      <c r="W49" s="232"/>
      <c r="X49" s="232"/>
    </row>
    <row r="50" spans="1:24" ht="12.75" customHeight="1">
      <c r="A50" s="754" t="s">
        <v>382</v>
      </c>
      <c r="B50" s="754"/>
      <c r="C50" s="754"/>
      <c r="D50" s="750" t="e">
        <f>+N44</f>
        <v>#REF!</v>
      </c>
      <c r="E50" s="750"/>
      <c r="F50" s="209">
        <v>236</v>
      </c>
      <c r="G50" s="209" t="e">
        <f>+D50*F50</f>
        <v>#REF!</v>
      </c>
      <c r="H50" s="209" t="s">
        <v>383</v>
      </c>
    </row>
    <row r="51" spans="1:24" ht="12.75" customHeight="1">
      <c r="A51" s="754" t="s">
        <v>398</v>
      </c>
      <c r="B51" s="754"/>
      <c r="C51" s="754"/>
      <c r="D51" s="750">
        <f>+E17+K17+M17+J17</f>
        <v>1500</v>
      </c>
      <c r="E51" s="751"/>
      <c r="F51" s="209">
        <v>236</v>
      </c>
      <c r="G51" s="209">
        <f>+D51*F51</f>
        <v>354000</v>
      </c>
      <c r="H51" s="209" t="s">
        <v>383</v>
      </c>
    </row>
    <row r="60" spans="1:24">
      <c r="G60" s="114">
        <f>2542.9*500</f>
        <v>1271450</v>
      </c>
    </row>
    <row r="61" spans="1:24">
      <c r="G61" s="114">
        <f>+G60</f>
        <v>1271450</v>
      </c>
    </row>
    <row r="62" spans="1:24">
      <c r="G62" s="133">
        <f>+G61/10000</f>
        <v>127.145</v>
      </c>
    </row>
  </sheetData>
  <mergeCells count="11">
    <mergeCell ref="T42:V42"/>
    <mergeCell ref="T38:V38"/>
    <mergeCell ref="P3:X3"/>
    <mergeCell ref="D51:E51"/>
    <mergeCell ref="H7:O7"/>
    <mergeCell ref="H8:O8"/>
    <mergeCell ref="D50:E50"/>
    <mergeCell ref="A1:O3"/>
    <mergeCell ref="A50:C50"/>
    <mergeCell ref="A51:C51"/>
    <mergeCell ref="A6:B6"/>
  </mergeCells>
  <pageMargins left="0.36" right="0.3" top="0.27559055118110237" bottom="0.25" header="0.25" footer="0.31496062992125984"/>
  <pageSetup scale="70"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G21"/>
  <sheetViews>
    <sheetView topLeftCell="A10" workbookViewId="0">
      <selection activeCell="F10" sqref="F10"/>
    </sheetView>
  </sheetViews>
  <sheetFormatPr baseColWidth="10" defaultRowHeight="12.75"/>
  <cols>
    <col min="1" max="1" width="24.28515625" customWidth="1"/>
    <col min="7" max="7" width="15.28515625" bestFit="1" customWidth="1"/>
  </cols>
  <sheetData>
    <row r="5" spans="1:7" ht="13.5" thickBot="1"/>
    <row r="6" spans="1:7" ht="13.5" thickBot="1">
      <c r="G6" s="260" t="s">
        <v>563</v>
      </c>
    </row>
    <row r="7" spans="1:7" ht="24">
      <c r="A7" s="755" t="s">
        <v>399</v>
      </c>
      <c r="B7" s="755"/>
      <c r="C7" s="209" t="s">
        <v>351</v>
      </c>
      <c r="D7" s="209" t="s">
        <v>345</v>
      </c>
      <c r="E7" s="209" t="s">
        <v>346</v>
      </c>
      <c r="F7" s="243" t="s">
        <v>396</v>
      </c>
      <c r="G7" s="410" t="s">
        <v>366</v>
      </c>
    </row>
    <row r="8" spans="1:7" ht="24">
      <c r="A8" s="221" t="s">
        <v>76</v>
      </c>
      <c r="B8" s="209" t="s">
        <v>343</v>
      </c>
      <c r="C8" s="209">
        <v>1</v>
      </c>
      <c r="D8" s="221" t="s">
        <v>561</v>
      </c>
      <c r="E8" s="221" t="s">
        <v>562</v>
      </c>
      <c r="F8" s="222">
        <v>10</v>
      </c>
      <c r="G8" s="215">
        <f>+'PRECIOS QUINTALES'!C6</f>
        <v>32.75</v>
      </c>
    </row>
    <row r="9" spans="1:7" ht="24">
      <c r="A9" s="221" t="s">
        <v>76</v>
      </c>
      <c r="B9" s="209" t="s">
        <v>344</v>
      </c>
      <c r="C9" s="209">
        <v>1</v>
      </c>
      <c r="D9" s="221" t="s">
        <v>561</v>
      </c>
      <c r="E9" s="221" t="s">
        <v>562</v>
      </c>
      <c r="F9" s="222">
        <v>6</v>
      </c>
      <c r="G9" s="215">
        <f>+'PRECIOS QUINTALES'!B5</f>
        <v>21.625</v>
      </c>
    </row>
    <row r="10" spans="1:7">
      <c r="A10" s="209" t="s">
        <v>401</v>
      </c>
      <c r="B10" s="221"/>
      <c r="C10" s="209">
        <v>11638</v>
      </c>
      <c r="D10" s="209"/>
      <c r="E10" s="209"/>
      <c r="F10" s="209"/>
      <c r="G10" s="209"/>
    </row>
    <row r="11" spans="1:7">
      <c r="A11" s="221" t="s">
        <v>397</v>
      </c>
      <c r="B11" s="222">
        <f>1433/4</f>
        <v>358.25</v>
      </c>
      <c r="C11" s="222">
        <f>+C10/B11</f>
        <v>32.485694347522681</v>
      </c>
      <c r="D11" s="222">
        <f>+C11/2</f>
        <v>16.242847173761341</v>
      </c>
      <c r="E11" s="209"/>
      <c r="F11" s="222"/>
      <c r="G11" s="222"/>
    </row>
    <row r="12" spans="1:7">
      <c r="A12" s="344"/>
    </row>
    <row r="13" spans="1:7">
      <c r="A13" s="345"/>
    </row>
    <row r="14" spans="1:7" ht="25.5">
      <c r="A14" s="740" t="s">
        <v>326</v>
      </c>
      <c r="B14" s="740" t="s">
        <v>327</v>
      </c>
      <c r="C14" s="740"/>
      <c r="D14" s="740"/>
      <c r="E14" s="740"/>
      <c r="F14" s="341" t="s">
        <v>530</v>
      </c>
    </row>
    <row r="15" spans="1:7" ht="38.25">
      <c r="A15" s="740"/>
      <c r="B15" s="341" t="s">
        <v>328</v>
      </c>
      <c r="C15" s="341" t="s">
        <v>531</v>
      </c>
      <c r="D15" s="341" t="s">
        <v>532</v>
      </c>
      <c r="E15" s="341" t="s">
        <v>533</v>
      </c>
      <c r="F15" s="341" t="s">
        <v>534</v>
      </c>
    </row>
    <row r="16" spans="1:7">
      <c r="A16" s="199" t="s">
        <v>356</v>
      </c>
      <c r="B16" s="200">
        <v>129</v>
      </c>
      <c r="C16" s="200">
        <v>56</v>
      </c>
      <c r="D16" s="200">
        <v>154</v>
      </c>
      <c r="E16" s="200">
        <v>56</v>
      </c>
      <c r="F16" s="200">
        <v>384</v>
      </c>
    </row>
    <row r="17" spans="1:6">
      <c r="A17" s="201" t="s">
        <v>329</v>
      </c>
      <c r="B17" s="202">
        <v>165</v>
      </c>
      <c r="C17" s="202">
        <v>134</v>
      </c>
      <c r="D17" s="202">
        <v>158</v>
      </c>
      <c r="E17" s="202">
        <v>170</v>
      </c>
      <c r="F17" s="202">
        <v>135</v>
      </c>
    </row>
    <row r="18" spans="1:6">
      <c r="A18" s="199" t="s">
        <v>330</v>
      </c>
      <c r="B18" s="200">
        <v>377</v>
      </c>
      <c r="C18" s="200">
        <v>388</v>
      </c>
      <c r="D18" s="200">
        <v>468</v>
      </c>
      <c r="E18" s="200">
        <v>355</v>
      </c>
      <c r="F18" s="200">
        <v>182</v>
      </c>
    </row>
    <row r="19" spans="1:6">
      <c r="A19" s="201" t="s">
        <v>331</v>
      </c>
      <c r="B19" s="202">
        <v>193</v>
      </c>
      <c r="C19" s="202">
        <v>91</v>
      </c>
      <c r="D19" s="202">
        <v>64</v>
      </c>
      <c r="E19" s="202">
        <v>173</v>
      </c>
      <c r="F19" s="202">
        <v>86</v>
      </c>
    </row>
    <row r="20" spans="1:6" ht="25.5">
      <c r="A20" s="199" t="s">
        <v>332</v>
      </c>
      <c r="B20" s="200">
        <v>264</v>
      </c>
      <c r="C20" s="200">
        <v>396</v>
      </c>
      <c r="D20" s="200">
        <v>368</v>
      </c>
      <c r="E20" s="200">
        <v>233</v>
      </c>
      <c r="F20" s="200">
        <v>98</v>
      </c>
    </row>
    <row r="21" spans="1:6">
      <c r="A21" s="201" t="s">
        <v>535</v>
      </c>
      <c r="B21" s="346" t="s">
        <v>536</v>
      </c>
      <c r="C21" s="346" t="s">
        <v>537</v>
      </c>
      <c r="D21" s="346" t="s">
        <v>538</v>
      </c>
      <c r="E21" s="346">
        <v>987</v>
      </c>
      <c r="F21" s="347"/>
    </row>
  </sheetData>
  <mergeCells count="3">
    <mergeCell ref="A14:A15"/>
    <mergeCell ref="B14:E14"/>
    <mergeCell ref="A7:B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9"/>
  <dimension ref="B2:R138"/>
  <sheetViews>
    <sheetView topLeftCell="A13" zoomScale="80" zoomScaleNormal="80" workbookViewId="0">
      <selection activeCell="H31" sqref="H31"/>
    </sheetView>
  </sheetViews>
  <sheetFormatPr baseColWidth="10" defaultRowHeight="12.75"/>
  <cols>
    <col min="1" max="1" width="0.28515625" style="37" customWidth="1"/>
    <col min="2" max="2" width="32.42578125" style="37" customWidth="1"/>
    <col min="3" max="16384" width="11.42578125" style="37"/>
  </cols>
  <sheetData>
    <row r="2" spans="2:15" ht="13.5" thickBot="1"/>
    <row r="3" spans="2:15" ht="25.5">
      <c r="B3" s="389" t="s">
        <v>440</v>
      </c>
      <c r="C3" s="245" t="s">
        <v>371</v>
      </c>
      <c r="D3" s="245" t="s">
        <v>370</v>
      </c>
      <c r="E3" s="245" t="s">
        <v>372</v>
      </c>
      <c r="F3" s="245" t="s">
        <v>373</v>
      </c>
      <c r="G3" s="245" t="s">
        <v>374</v>
      </c>
      <c r="H3" s="245" t="s">
        <v>375</v>
      </c>
      <c r="I3" s="245" t="s">
        <v>376</v>
      </c>
      <c r="J3" s="245" t="s">
        <v>377</v>
      </c>
      <c r="K3" s="245" t="s">
        <v>378</v>
      </c>
      <c r="L3" s="245" t="s">
        <v>379</v>
      </c>
      <c r="M3" s="245" t="s">
        <v>380</v>
      </c>
      <c r="N3" s="245" t="s">
        <v>381</v>
      </c>
      <c r="O3" s="246" t="s">
        <v>2</v>
      </c>
    </row>
    <row r="4" spans="2:15">
      <c r="B4" s="247" t="s">
        <v>137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6"/>
    </row>
    <row r="5" spans="2:15">
      <c r="B5" s="248" t="s">
        <v>294</v>
      </c>
      <c r="C5" s="2">
        <v>0</v>
      </c>
      <c r="D5" s="2">
        <v>0</v>
      </c>
      <c r="E5" s="2">
        <v>137.02000000000001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411">
        <f>+'COSTOS DE PRODUCCION'!F8*'PRECIOS QUINTALES'!B6</f>
        <v>163.75</v>
      </c>
      <c r="L5" s="2">
        <v>0</v>
      </c>
      <c r="M5" s="2">
        <v>0</v>
      </c>
      <c r="N5" s="2">
        <v>0</v>
      </c>
      <c r="O5" s="36">
        <f>SUM(C5:N5)</f>
        <v>300.77</v>
      </c>
    </row>
    <row r="6" spans="2:15">
      <c r="B6" s="248" t="s">
        <v>492</v>
      </c>
      <c r="C6" s="2">
        <v>150</v>
      </c>
      <c r="D6" s="2">
        <v>150</v>
      </c>
      <c r="E6" s="2">
        <v>0</v>
      </c>
      <c r="F6" s="2">
        <v>0</v>
      </c>
      <c r="G6" s="2">
        <v>150</v>
      </c>
      <c r="H6" s="2">
        <v>150</v>
      </c>
      <c r="I6" s="2">
        <v>150</v>
      </c>
      <c r="J6" s="2">
        <v>150</v>
      </c>
      <c r="K6" s="2">
        <v>0</v>
      </c>
      <c r="L6" s="2">
        <v>0</v>
      </c>
      <c r="M6" s="2">
        <v>150</v>
      </c>
      <c r="N6" s="2">
        <v>150</v>
      </c>
      <c r="O6" s="36">
        <f>SUM(C6:N6)</f>
        <v>1200</v>
      </c>
    </row>
    <row r="7" spans="2:15">
      <c r="B7" s="248" t="s">
        <v>153</v>
      </c>
      <c r="C7" s="2">
        <f>SUM(C5:C6)</f>
        <v>150</v>
      </c>
      <c r="D7" s="2">
        <f t="shared" ref="D7:O7" si="0">SUM(D5:D6)</f>
        <v>150</v>
      </c>
      <c r="E7" s="2">
        <f t="shared" si="0"/>
        <v>137.02000000000001</v>
      </c>
      <c r="F7" s="2">
        <f t="shared" si="0"/>
        <v>0</v>
      </c>
      <c r="G7" s="2">
        <f t="shared" si="0"/>
        <v>150</v>
      </c>
      <c r="H7" s="2">
        <f t="shared" si="0"/>
        <v>150</v>
      </c>
      <c r="I7" s="2">
        <f t="shared" si="0"/>
        <v>150</v>
      </c>
      <c r="J7" s="2">
        <f t="shared" si="0"/>
        <v>150</v>
      </c>
      <c r="K7" s="2">
        <f t="shared" si="0"/>
        <v>163.75</v>
      </c>
      <c r="L7" s="2">
        <f t="shared" si="0"/>
        <v>0</v>
      </c>
      <c r="M7" s="2">
        <f t="shared" si="0"/>
        <v>150</v>
      </c>
      <c r="N7" s="2">
        <f t="shared" si="0"/>
        <v>150</v>
      </c>
      <c r="O7" s="36">
        <f t="shared" si="0"/>
        <v>1500.77</v>
      </c>
    </row>
    <row r="8" spans="2:15">
      <c r="B8" s="24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6"/>
    </row>
    <row r="9" spans="2:15">
      <c r="B9" s="248" t="s">
        <v>154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6"/>
    </row>
    <row r="10" spans="2:15">
      <c r="B10" s="248" t="s">
        <v>295</v>
      </c>
      <c r="C10" s="2">
        <v>100</v>
      </c>
      <c r="D10" s="2">
        <v>100</v>
      </c>
      <c r="E10" s="2">
        <v>100</v>
      </c>
      <c r="F10" s="2">
        <v>100</v>
      </c>
      <c r="G10" s="2">
        <v>100</v>
      </c>
      <c r="H10" s="2">
        <v>100</v>
      </c>
      <c r="I10" s="2">
        <v>100</v>
      </c>
      <c r="J10" s="2">
        <v>100</v>
      </c>
      <c r="K10" s="2">
        <v>100</v>
      </c>
      <c r="L10" s="2">
        <v>100</v>
      </c>
      <c r="M10" s="2">
        <v>100</v>
      </c>
      <c r="N10" s="2">
        <v>150</v>
      </c>
      <c r="O10" s="36">
        <f>SUM(C10:N10)</f>
        <v>1250</v>
      </c>
    </row>
    <row r="11" spans="2:15">
      <c r="B11" s="248" t="s">
        <v>296</v>
      </c>
      <c r="C11" s="2">
        <v>20</v>
      </c>
      <c r="D11" s="2">
        <v>20</v>
      </c>
      <c r="E11" s="2">
        <v>20</v>
      </c>
      <c r="F11" s="2">
        <v>20</v>
      </c>
      <c r="G11" s="2">
        <v>20</v>
      </c>
      <c r="H11" s="2">
        <v>20</v>
      </c>
      <c r="I11" s="2">
        <v>20</v>
      </c>
      <c r="J11" s="2">
        <v>20</v>
      </c>
      <c r="K11" s="2">
        <v>40</v>
      </c>
      <c r="L11" s="2">
        <v>20</v>
      </c>
      <c r="M11" s="2">
        <v>20</v>
      </c>
      <c r="N11" s="2">
        <v>20</v>
      </c>
      <c r="O11" s="36">
        <f t="shared" ref="O11:O15" si="1">SUM(C11:N11)</f>
        <v>260</v>
      </c>
    </row>
    <row r="12" spans="2:15">
      <c r="B12" s="248" t="s">
        <v>297</v>
      </c>
      <c r="C12" s="2">
        <v>5</v>
      </c>
      <c r="D12" s="2">
        <v>5</v>
      </c>
      <c r="E12" s="2">
        <v>20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  <c r="K12" s="2">
        <v>5</v>
      </c>
      <c r="L12" s="2">
        <v>5</v>
      </c>
      <c r="M12" s="2">
        <v>5</v>
      </c>
      <c r="N12" s="2">
        <v>25</v>
      </c>
      <c r="O12" s="36">
        <f t="shared" si="1"/>
        <v>95</v>
      </c>
    </row>
    <row r="13" spans="2:15">
      <c r="B13" s="248" t="s">
        <v>298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>
        <v>5</v>
      </c>
      <c r="M13" s="2">
        <v>5</v>
      </c>
      <c r="N13" s="2">
        <v>5</v>
      </c>
      <c r="O13" s="36">
        <f t="shared" si="1"/>
        <v>60</v>
      </c>
    </row>
    <row r="14" spans="2:15">
      <c r="B14" s="248" t="s">
        <v>58</v>
      </c>
      <c r="C14" s="2">
        <v>15</v>
      </c>
      <c r="D14" s="2">
        <v>15</v>
      </c>
      <c r="E14" s="2">
        <v>15</v>
      </c>
      <c r="F14" s="2">
        <v>15</v>
      </c>
      <c r="G14" s="2">
        <v>10</v>
      </c>
      <c r="H14" s="2">
        <v>15</v>
      </c>
      <c r="I14" s="2">
        <v>15</v>
      </c>
      <c r="J14" s="2">
        <v>15</v>
      </c>
      <c r="K14" s="2">
        <v>15</v>
      </c>
      <c r="L14" s="2">
        <v>15</v>
      </c>
      <c r="M14" s="2">
        <v>10</v>
      </c>
      <c r="N14" s="2">
        <v>20</v>
      </c>
      <c r="O14" s="36">
        <f t="shared" si="1"/>
        <v>175</v>
      </c>
    </row>
    <row r="15" spans="2:15">
      <c r="B15" s="248" t="s">
        <v>352</v>
      </c>
      <c r="C15" s="2">
        <f>SUM(C10:C14)</f>
        <v>145</v>
      </c>
      <c r="D15" s="2">
        <f t="shared" ref="D15:N15" si="2">SUM(D10:D14)</f>
        <v>145</v>
      </c>
      <c r="E15" s="2">
        <f t="shared" si="2"/>
        <v>160</v>
      </c>
      <c r="F15" s="2">
        <f t="shared" si="2"/>
        <v>145</v>
      </c>
      <c r="G15" s="2">
        <f t="shared" si="2"/>
        <v>140</v>
      </c>
      <c r="H15" s="2">
        <f t="shared" si="2"/>
        <v>145</v>
      </c>
      <c r="I15" s="2">
        <f t="shared" si="2"/>
        <v>145</v>
      </c>
      <c r="J15" s="2">
        <f t="shared" si="2"/>
        <v>145</v>
      </c>
      <c r="K15" s="2">
        <f t="shared" si="2"/>
        <v>165</v>
      </c>
      <c r="L15" s="2">
        <f t="shared" si="2"/>
        <v>145</v>
      </c>
      <c r="M15" s="2">
        <f t="shared" si="2"/>
        <v>140</v>
      </c>
      <c r="N15" s="2">
        <f t="shared" si="2"/>
        <v>220</v>
      </c>
      <c r="O15" s="36">
        <f t="shared" si="1"/>
        <v>1840</v>
      </c>
    </row>
    <row r="16" spans="2:15">
      <c r="B16" s="24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6"/>
    </row>
    <row r="17" spans="2:18">
      <c r="B17" s="249" t="s">
        <v>438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6">
        <v>0</v>
      </c>
    </row>
    <row r="18" spans="2:18">
      <c r="B18" s="248" t="s">
        <v>356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36">
        <f>SUM(C18:N18)</f>
        <v>0</v>
      </c>
    </row>
    <row r="19" spans="2:18">
      <c r="B19" s="248" t="s">
        <v>329</v>
      </c>
      <c r="C19" s="2">
        <v>0</v>
      </c>
      <c r="D19" s="2">
        <v>0</v>
      </c>
      <c r="E19" s="2">
        <v>0</v>
      </c>
      <c r="F19" s="2">
        <v>14.86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9.5020655966503842</v>
      </c>
      <c r="M19" s="2">
        <v>0</v>
      </c>
      <c r="N19" s="2">
        <v>0</v>
      </c>
      <c r="O19" s="36">
        <f t="shared" ref="O19:O22" si="3">SUM(C19:N19)</f>
        <v>24.362065596650382</v>
      </c>
      <c r="R19" s="37">
        <v>165</v>
      </c>
    </row>
    <row r="20" spans="2:18">
      <c r="B20" s="248" t="s">
        <v>330</v>
      </c>
      <c r="C20" s="2">
        <v>0</v>
      </c>
      <c r="D20" s="2">
        <v>0</v>
      </c>
      <c r="E20" s="2">
        <v>0</v>
      </c>
      <c r="F20" s="2">
        <v>33.96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21.710780181437542</v>
      </c>
      <c r="M20" s="2">
        <v>0</v>
      </c>
      <c r="N20" s="2">
        <v>0</v>
      </c>
      <c r="O20" s="36">
        <f t="shared" si="3"/>
        <v>55.670780181437543</v>
      </c>
      <c r="R20" s="37">
        <v>16</v>
      </c>
    </row>
    <row r="21" spans="2:18">
      <c r="B21" s="248" t="s">
        <v>357</v>
      </c>
      <c r="C21" s="2">
        <v>0</v>
      </c>
      <c r="D21" s="2">
        <v>0</v>
      </c>
      <c r="E21" s="2">
        <v>0</v>
      </c>
      <c r="F21" s="2">
        <v>17.38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11.114537334263783</v>
      </c>
      <c r="M21" s="2">
        <v>0</v>
      </c>
      <c r="N21" s="2">
        <v>0</v>
      </c>
      <c r="O21" s="36">
        <f t="shared" si="3"/>
        <v>28.494537334263782</v>
      </c>
      <c r="R21" s="37">
        <f>+R19/R20</f>
        <v>10.3125</v>
      </c>
    </row>
    <row r="22" spans="2:18">
      <c r="B22" s="248" t="s">
        <v>365</v>
      </c>
      <c r="C22" s="2">
        <v>0</v>
      </c>
      <c r="D22" s="2">
        <v>0</v>
      </c>
      <c r="E22" s="2">
        <v>0</v>
      </c>
      <c r="F22" s="2">
        <v>25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25</v>
      </c>
      <c r="M22" s="2">
        <v>0</v>
      </c>
      <c r="N22" s="2">
        <v>0</v>
      </c>
      <c r="O22" s="36">
        <f t="shared" si="3"/>
        <v>50</v>
      </c>
      <c r="R22" s="37">
        <v>14.86</v>
      </c>
    </row>
    <row r="23" spans="2:18">
      <c r="B23" s="248" t="s">
        <v>361</v>
      </c>
      <c r="C23" s="2">
        <f>SUM(C18:C22)</f>
        <v>0</v>
      </c>
      <c r="D23" s="2">
        <f t="shared" ref="D23:N23" si="4">SUM(D18:D22)</f>
        <v>0</v>
      </c>
      <c r="E23" s="2">
        <f t="shared" si="4"/>
        <v>0</v>
      </c>
      <c r="F23" s="2">
        <f t="shared" si="4"/>
        <v>91.2</v>
      </c>
      <c r="G23" s="2">
        <f t="shared" si="4"/>
        <v>0</v>
      </c>
      <c r="H23" s="2">
        <f t="shared" si="4"/>
        <v>0</v>
      </c>
      <c r="I23" s="2">
        <f t="shared" si="4"/>
        <v>0</v>
      </c>
      <c r="J23" s="2">
        <f t="shared" si="4"/>
        <v>0</v>
      </c>
      <c r="K23" s="2">
        <f t="shared" si="4"/>
        <v>0</v>
      </c>
      <c r="L23" s="2">
        <f t="shared" si="4"/>
        <v>67.327383112351711</v>
      </c>
      <c r="M23" s="2">
        <f t="shared" si="4"/>
        <v>0</v>
      </c>
      <c r="N23" s="2">
        <f t="shared" si="4"/>
        <v>0</v>
      </c>
      <c r="O23" s="36">
        <f>SUM(C23:N23)</f>
        <v>158.52738311235171</v>
      </c>
      <c r="R23" s="37">
        <f>+R21-R22</f>
        <v>-4.5474999999999994</v>
      </c>
    </row>
    <row r="24" spans="2:18">
      <c r="B24" s="24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6"/>
    </row>
    <row r="25" spans="2:18">
      <c r="B25" s="249" t="s">
        <v>439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6">
        <v>0</v>
      </c>
    </row>
    <row r="26" spans="2:18">
      <c r="B26" s="248" t="s">
        <v>356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36">
        <v>0</v>
      </c>
    </row>
    <row r="27" spans="2:18">
      <c r="B27" s="248" t="s">
        <v>360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36">
        <v>0</v>
      </c>
    </row>
    <row r="28" spans="2:18">
      <c r="B28" s="248" t="s">
        <v>369</v>
      </c>
      <c r="C28" s="2">
        <v>0</v>
      </c>
      <c r="D28" s="2">
        <v>0</v>
      </c>
      <c r="E28" s="2">
        <v>15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15</v>
      </c>
      <c r="L28" s="2">
        <v>0</v>
      </c>
      <c r="M28" s="2">
        <v>0</v>
      </c>
      <c r="N28" s="2">
        <v>0</v>
      </c>
      <c r="O28" s="36">
        <v>30</v>
      </c>
    </row>
    <row r="29" spans="2:18">
      <c r="B29" s="248" t="s">
        <v>362</v>
      </c>
      <c r="C29" s="2">
        <f>SUM(C26:C28)</f>
        <v>0</v>
      </c>
      <c r="D29" s="2">
        <f t="shared" ref="D29:O29" si="5">SUM(D26:D28)</f>
        <v>0</v>
      </c>
      <c r="E29" s="2">
        <f>SUM(E26:E28)</f>
        <v>15</v>
      </c>
      <c r="F29" s="2">
        <f t="shared" si="5"/>
        <v>0</v>
      </c>
      <c r="G29" s="2">
        <f t="shared" si="5"/>
        <v>0</v>
      </c>
      <c r="H29" s="2">
        <f t="shared" si="5"/>
        <v>0</v>
      </c>
      <c r="I29" s="2">
        <f t="shared" si="5"/>
        <v>0</v>
      </c>
      <c r="J29" s="2">
        <f t="shared" si="5"/>
        <v>0</v>
      </c>
      <c r="K29" s="2">
        <f t="shared" si="5"/>
        <v>15</v>
      </c>
      <c r="L29" s="2">
        <f t="shared" si="5"/>
        <v>0</v>
      </c>
      <c r="M29" s="2">
        <f t="shared" si="5"/>
        <v>0</v>
      </c>
      <c r="N29" s="2">
        <f t="shared" si="5"/>
        <v>0</v>
      </c>
      <c r="O29" s="36">
        <f t="shared" si="5"/>
        <v>30</v>
      </c>
    </row>
    <row r="30" spans="2:18">
      <c r="B30" s="24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6"/>
    </row>
    <row r="31" spans="2:18">
      <c r="B31" s="250" t="s">
        <v>138</v>
      </c>
      <c r="C31" s="2">
        <f>+C15+C23+C29</f>
        <v>145</v>
      </c>
      <c r="D31" s="2">
        <f t="shared" ref="D31:O31" si="6">+D15+D23+D29</f>
        <v>145</v>
      </c>
      <c r="E31" s="2">
        <f t="shared" si="6"/>
        <v>175</v>
      </c>
      <c r="F31" s="2">
        <f t="shared" si="6"/>
        <v>236.2</v>
      </c>
      <c r="G31" s="2">
        <f t="shared" si="6"/>
        <v>140</v>
      </c>
      <c r="H31" s="2">
        <f t="shared" si="6"/>
        <v>145</v>
      </c>
      <c r="I31" s="2">
        <f t="shared" si="6"/>
        <v>145</v>
      </c>
      <c r="J31" s="2">
        <f t="shared" si="6"/>
        <v>145</v>
      </c>
      <c r="K31" s="2">
        <f t="shared" si="6"/>
        <v>180</v>
      </c>
      <c r="L31" s="2">
        <f t="shared" si="6"/>
        <v>212.3273831123517</v>
      </c>
      <c r="M31" s="2">
        <f t="shared" si="6"/>
        <v>140</v>
      </c>
      <c r="N31" s="2">
        <f t="shared" si="6"/>
        <v>220</v>
      </c>
      <c r="O31" s="36">
        <f t="shared" si="6"/>
        <v>2028.5273831123518</v>
      </c>
    </row>
    <row r="32" spans="2:18">
      <c r="B32" s="25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6"/>
    </row>
    <row r="33" spans="2:15">
      <c r="B33" s="250" t="s">
        <v>355</v>
      </c>
      <c r="C33" s="2">
        <f>+C7-C31</f>
        <v>5</v>
      </c>
      <c r="D33" s="2">
        <f t="shared" ref="D33:O33" si="7">+D7-D31</f>
        <v>5</v>
      </c>
      <c r="E33" s="2">
        <f t="shared" si="7"/>
        <v>-37.97999999999999</v>
      </c>
      <c r="F33" s="2">
        <f t="shared" si="7"/>
        <v>-236.2</v>
      </c>
      <c r="G33" s="2">
        <f t="shared" si="7"/>
        <v>10</v>
      </c>
      <c r="H33" s="2">
        <f t="shared" si="7"/>
        <v>5</v>
      </c>
      <c r="I33" s="2">
        <f t="shared" si="7"/>
        <v>5</v>
      </c>
      <c r="J33" s="2">
        <f t="shared" si="7"/>
        <v>5</v>
      </c>
      <c r="K33" s="2">
        <f t="shared" si="7"/>
        <v>-16.25</v>
      </c>
      <c r="L33" s="2">
        <f t="shared" si="7"/>
        <v>-212.3273831123517</v>
      </c>
      <c r="M33" s="2">
        <f t="shared" si="7"/>
        <v>10</v>
      </c>
      <c r="N33" s="2">
        <f t="shared" si="7"/>
        <v>-70</v>
      </c>
      <c r="O33" s="36">
        <f t="shared" si="7"/>
        <v>-527.75738311235182</v>
      </c>
    </row>
    <row r="34" spans="2:15" ht="13.5" thickBot="1">
      <c r="B34" s="251" t="s">
        <v>364</v>
      </c>
      <c r="C34" s="150">
        <v>-85</v>
      </c>
      <c r="D34" s="150">
        <f>+C34+D33</f>
        <v>-80</v>
      </c>
      <c r="E34" s="150">
        <f>+D34+E33</f>
        <v>-117.97999999999999</v>
      </c>
      <c r="F34" s="150">
        <f t="shared" ref="F34:O34" si="8">+E34+F33</f>
        <v>-354.17999999999995</v>
      </c>
      <c r="G34" s="150">
        <f t="shared" si="8"/>
        <v>-344.17999999999995</v>
      </c>
      <c r="H34" s="150">
        <f t="shared" si="8"/>
        <v>-339.17999999999995</v>
      </c>
      <c r="I34" s="150">
        <f t="shared" si="8"/>
        <v>-334.17999999999995</v>
      </c>
      <c r="J34" s="150">
        <f t="shared" si="8"/>
        <v>-329.17999999999995</v>
      </c>
      <c r="K34" s="150">
        <f t="shared" si="8"/>
        <v>-345.42999999999995</v>
      </c>
      <c r="L34" s="150">
        <f t="shared" si="8"/>
        <v>-557.75738311235159</v>
      </c>
      <c r="M34" s="150">
        <f t="shared" si="8"/>
        <v>-547.75738311235159</v>
      </c>
      <c r="N34" s="150">
        <f t="shared" si="8"/>
        <v>-617.75738311235159</v>
      </c>
      <c r="O34" s="150">
        <f t="shared" si="8"/>
        <v>-1145.5147662247034</v>
      </c>
    </row>
    <row r="36" spans="2:15">
      <c r="D36" s="37" t="s">
        <v>564</v>
      </c>
      <c r="E36" s="37">
        <f>+F23*236</f>
        <v>21523.200000000001</v>
      </c>
      <c r="F36" s="37">
        <f>15*236</f>
        <v>3540</v>
      </c>
    </row>
    <row r="37" spans="2:15">
      <c r="E37" s="37">
        <f>+L23*236</f>
        <v>15889.262414515004</v>
      </c>
    </row>
    <row r="38" spans="2:15" ht="13.5" thickBot="1"/>
    <row r="39" spans="2:15" ht="25.5">
      <c r="B39" s="389" t="s">
        <v>441</v>
      </c>
      <c r="C39" s="245" t="s">
        <v>371</v>
      </c>
      <c r="D39" s="245" t="s">
        <v>370</v>
      </c>
      <c r="E39" s="245" t="s">
        <v>372</v>
      </c>
      <c r="F39" s="245" t="s">
        <v>373</v>
      </c>
      <c r="G39" s="245" t="s">
        <v>374</v>
      </c>
      <c r="H39" s="245" t="s">
        <v>375</v>
      </c>
      <c r="I39" s="245" t="s">
        <v>376</v>
      </c>
      <c r="J39" s="245" t="s">
        <v>377</v>
      </c>
      <c r="K39" s="245" t="s">
        <v>378</v>
      </c>
      <c r="L39" s="245" t="s">
        <v>379</v>
      </c>
      <c r="M39" s="245" t="s">
        <v>380</v>
      </c>
      <c r="N39" s="245" t="s">
        <v>381</v>
      </c>
      <c r="O39" s="246" t="s">
        <v>2</v>
      </c>
    </row>
    <row r="40" spans="2:15">
      <c r="B40" s="247" t="s">
        <v>137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6"/>
    </row>
    <row r="41" spans="2:15">
      <c r="B41" s="248" t="s">
        <v>294</v>
      </c>
      <c r="C41" s="2">
        <v>0</v>
      </c>
      <c r="D41" s="2">
        <v>0</v>
      </c>
      <c r="E41" s="2">
        <f>+'COSTOS DE PRODUCCION'!F9*'PRECIOS QUINTALES'!D5</f>
        <v>332.15999999999997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f>+'COSTOS DE PRODUCCION'!F8*'PRECIOS QUINTALES'!D6</f>
        <v>419.20000000000005</v>
      </c>
      <c r="L41" s="2">
        <v>0</v>
      </c>
      <c r="M41" s="2">
        <v>0</v>
      </c>
      <c r="N41" s="2">
        <v>0</v>
      </c>
      <c r="O41" s="36">
        <f>SUM(C41:N41)</f>
        <v>751.36</v>
      </c>
    </row>
    <row r="42" spans="2:15">
      <c r="B42" s="248" t="s">
        <v>368</v>
      </c>
      <c r="C42" s="2">
        <v>150</v>
      </c>
      <c r="D42" s="2">
        <v>150</v>
      </c>
      <c r="E42" s="2">
        <v>0</v>
      </c>
      <c r="F42" s="2">
        <v>0</v>
      </c>
      <c r="G42" s="2">
        <v>150</v>
      </c>
      <c r="H42" s="2">
        <v>150</v>
      </c>
      <c r="I42" s="2">
        <v>150</v>
      </c>
      <c r="J42" s="2">
        <v>150</v>
      </c>
      <c r="K42" s="2">
        <v>0</v>
      </c>
      <c r="L42" s="2">
        <v>0</v>
      </c>
      <c r="M42" s="2">
        <v>150</v>
      </c>
      <c r="N42" s="2">
        <v>150</v>
      </c>
      <c r="O42" s="36">
        <f>SUM(C42:N42)</f>
        <v>1200</v>
      </c>
    </row>
    <row r="43" spans="2:15">
      <c r="B43" s="248" t="s">
        <v>153</v>
      </c>
      <c r="C43" s="2">
        <f>SUM(C41:C42)</f>
        <v>150</v>
      </c>
      <c r="D43" s="2">
        <f t="shared" ref="D43:N43" si="9">SUM(D41:D42)</f>
        <v>150</v>
      </c>
      <c r="E43" s="2">
        <f t="shared" si="9"/>
        <v>332.15999999999997</v>
      </c>
      <c r="F43" s="2">
        <f t="shared" si="9"/>
        <v>0</v>
      </c>
      <c r="G43" s="2">
        <f t="shared" si="9"/>
        <v>150</v>
      </c>
      <c r="H43" s="2">
        <f t="shared" si="9"/>
        <v>150</v>
      </c>
      <c r="I43" s="2">
        <f t="shared" si="9"/>
        <v>150</v>
      </c>
      <c r="J43" s="2">
        <f t="shared" si="9"/>
        <v>150</v>
      </c>
      <c r="K43" s="2">
        <f t="shared" si="9"/>
        <v>419.20000000000005</v>
      </c>
      <c r="L43" s="2">
        <f t="shared" si="9"/>
        <v>0</v>
      </c>
      <c r="M43" s="2">
        <f t="shared" si="9"/>
        <v>150</v>
      </c>
      <c r="N43" s="2">
        <f t="shared" si="9"/>
        <v>150</v>
      </c>
      <c r="O43" s="36">
        <f>SUM(C43:N43)</f>
        <v>1951.36</v>
      </c>
    </row>
    <row r="44" spans="2:15">
      <c r="B44" s="24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6"/>
    </row>
    <row r="45" spans="2:15">
      <c r="B45" s="248" t="s">
        <v>154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6"/>
    </row>
    <row r="46" spans="2:15">
      <c r="B46" s="248" t="s">
        <v>295</v>
      </c>
      <c r="C46" s="2">
        <v>100</v>
      </c>
      <c r="D46" s="2">
        <v>100</v>
      </c>
      <c r="E46" s="2">
        <v>100</v>
      </c>
      <c r="F46" s="2">
        <v>100</v>
      </c>
      <c r="G46" s="2">
        <v>100</v>
      </c>
      <c r="H46" s="2">
        <v>100</v>
      </c>
      <c r="I46" s="2">
        <v>100</v>
      </c>
      <c r="J46" s="2">
        <v>100</v>
      </c>
      <c r="K46" s="2">
        <v>100</v>
      </c>
      <c r="L46" s="2">
        <v>100</v>
      </c>
      <c r="M46" s="2">
        <v>100</v>
      </c>
      <c r="N46" s="2">
        <v>150</v>
      </c>
      <c r="O46" s="36">
        <f>SUM(C46:N46)</f>
        <v>1250</v>
      </c>
    </row>
    <row r="47" spans="2:15">
      <c r="B47" s="248" t="s">
        <v>296</v>
      </c>
      <c r="C47" s="2">
        <v>20</v>
      </c>
      <c r="D47" s="2">
        <v>20</v>
      </c>
      <c r="E47" s="2">
        <v>20</v>
      </c>
      <c r="F47" s="2">
        <v>20</v>
      </c>
      <c r="G47" s="2">
        <v>20</v>
      </c>
      <c r="H47" s="2">
        <v>20</v>
      </c>
      <c r="I47" s="2">
        <v>20</v>
      </c>
      <c r="J47" s="2">
        <v>20</v>
      </c>
      <c r="K47" s="2">
        <v>40</v>
      </c>
      <c r="L47" s="2">
        <v>20</v>
      </c>
      <c r="M47" s="2">
        <v>20</v>
      </c>
      <c r="N47" s="2">
        <v>20</v>
      </c>
      <c r="O47" s="36">
        <f t="shared" ref="O47:O50" si="10">SUM(C47:N47)</f>
        <v>260</v>
      </c>
    </row>
    <row r="48" spans="2:15">
      <c r="B48" s="248" t="s">
        <v>297</v>
      </c>
      <c r="C48" s="2">
        <v>5</v>
      </c>
      <c r="D48" s="2">
        <v>5</v>
      </c>
      <c r="E48" s="2">
        <v>20</v>
      </c>
      <c r="F48" s="2">
        <v>5</v>
      </c>
      <c r="G48" s="2">
        <v>5</v>
      </c>
      <c r="H48" s="2">
        <v>5</v>
      </c>
      <c r="I48" s="2">
        <v>5</v>
      </c>
      <c r="J48" s="2">
        <v>5</v>
      </c>
      <c r="K48" s="2">
        <v>5</v>
      </c>
      <c r="L48" s="2">
        <v>5</v>
      </c>
      <c r="M48" s="2">
        <v>5</v>
      </c>
      <c r="N48" s="2">
        <v>25</v>
      </c>
      <c r="O48" s="36">
        <f t="shared" si="10"/>
        <v>95</v>
      </c>
    </row>
    <row r="49" spans="2:15">
      <c r="B49" s="248" t="s">
        <v>298</v>
      </c>
      <c r="C49" s="2">
        <v>5</v>
      </c>
      <c r="D49" s="2">
        <v>5</v>
      </c>
      <c r="E49" s="2">
        <v>5</v>
      </c>
      <c r="F49" s="2">
        <v>5</v>
      </c>
      <c r="G49" s="2">
        <v>5</v>
      </c>
      <c r="H49" s="2">
        <v>5</v>
      </c>
      <c r="I49" s="2">
        <v>5</v>
      </c>
      <c r="J49" s="2">
        <v>5</v>
      </c>
      <c r="K49" s="2">
        <v>5</v>
      </c>
      <c r="L49" s="2">
        <v>5</v>
      </c>
      <c r="M49" s="2">
        <v>5</v>
      </c>
      <c r="N49" s="2">
        <v>5</v>
      </c>
      <c r="O49" s="36">
        <f t="shared" si="10"/>
        <v>60</v>
      </c>
    </row>
    <row r="50" spans="2:15">
      <c r="B50" s="248" t="s">
        <v>58</v>
      </c>
      <c r="C50" s="2">
        <v>15</v>
      </c>
      <c r="D50" s="2">
        <v>15</v>
      </c>
      <c r="E50" s="2">
        <v>15</v>
      </c>
      <c r="F50" s="2">
        <v>15</v>
      </c>
      <c r="G50" s="2">
        <v>10</v>
      </c>
      <c r="H50" s="2">
        <v>15</v>
      </c>
      <c r="I50" s="2">
        <v>15</v>
      </c>
      <c r="J50" s="2">
        <v>15</v>
      </c>
      <c r="K50" s="2">
        <v>15</v>
      </c>
      <c r="L50" s="2">
        <v>15</v>
      </c>
      <c r="M50" s="2">
        <v>10</v>
      </c>
      <c r="N50" s="2">
        <v>20</v>
      </c>
      <c r="O50" s="36">
        <f t="shared" si="10"/>
        <v>175</v>
      </c>
    </row>
    <row r="51" spans="2:15">
      <c r="B51" s="248" t="s">
        <v>352</v>
      </c>
      <c r="C51" s="2">
        <f>SUM(C46:C50)</f>
        <v>145</v>
      </c>
      <c r="D51" s="2">
        <f t="shared" ref="D51:N51" si="11">SUM(D46:D50)</f>
        <v>145</v>
      </c>
      <c r="E51" s="2">
        <f t="shared" si="11"/>
        <v>160</v>
      </c>
      <c r="F51" s="2">
        <f t="shared" si="11"/>
        <v>145</v>
      </c>
      <c r="G51" s="2">
        <f t="shared" si="11"/>
        <v>140</v>
      </c>
      <c r="H51" s="2">
        <f t="shared" si="11"/>
        <v>145</v>
      </c>
      <c r="I51" s="2">
        <f t="shared" si="11"/>
        <v>145</v>
      </c>
      <c r="J51" s="2">
        <f t="shared" si="11"/>
        <v>145</v>
      </c>
      <c r="K51" s="2">
        <f t="shared" si="11"/>
        <v>165</v>
      </c>
      <c r="L51" s="2">
        <f t="shared" si="11"/>
        <v>145</v>
      </c>
      <c r="M51" s="2">
        <f t="shared" si="11"/>
        <v>140</v>
      </c>
      <c r="N51" s="2">
        <f t="shared" si="11"/>
        <v>220</v>
      </c>
      <c r="O51" s="36">
        <f>SUM(O46:O50)</f>
        <v>1840</v>
      </c>
    </row>
    <row r="52" spans="2:15">
      <c r="B52" s="24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</row>
    <row r="53" spans="2:15">
      <c r="B53" s="249" t="s">
        <v>438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6"/>
    </row>
    <row r="54" spans="2:15">
      <c r="B54" s="248" t="s">
        <v>356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36">
        <v>0</v>
      </c>
    </row>
    <row r="55" spans="2:15">
      <c r="B55" s="248" t="s">
        <v>329</v>
      </c>
      <c r="C55" s="2">
        <v>0</v>
      </c>
      <c r="D55" s="2">
        <v>0</v>
      </c>
      <c r="E55" s="2">
        <v>0</v>
      </c>
      <c r="F55" s="2">
        <v>14.86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9.5020655966503842</v>
      </c>
      <c r="M55" s="2">
        <v>0</v>
      </c>
      <c r="N55" s="2">
        <v>0</v>
      </c>
      <c r="O55" s="36">
        <v>24.364270760642011</v>
      </c>
    </row>
    <row r="56" spans="2:15">
      <c r="B56" s="248" t="s">
        <v>330</v>
      </c>
      <c r="C56" s="2">
        <v>0</v>
      </c>
      <c r="D56" s="2">
        <v>0</v>
      </c>
      <c r="E56" s="2">
        <v>0</v>
      </c>
      <c r="F56" s="2">
        <v>33.96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21.710780181437542</v>
      </c>
      <c r="M56" s="2">
        <v>0</v>
      </c>
      <c r="N56" s="2">
        <v>0</v>
      </c>
      <c r="O56" s="36">
        <v>55.668667131891141</v>
      </c>
    </row>
    <row r="57" spans="2:15">
      <c r="B57" s="248" t="s">
        <v>357</v>
      </c>
      <c r="C57" s="2">
        <v>0</v>
      </c>
      <c r="D57" s="2">
        <v>0</v>
      </c>
      <c r="E57" s="2">
        <v>0</v>
      </c>
      <c r="F57" s="2">
        <v>17.38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11.114537334263783</v>
      </c>
      <c r="M57" s="2">
        <v>0</v>
      </c>
      <c r="N57" s="2">
        <v>0</v>
      </c>
      <c r="O57" s="36">
        <v>28.498813677599443</v>
      </c>
    </row>
    <row r="58" spans="2:15">
      <c r="B58" s="248" t="s">
        <v>365</v>
      </c>
      <c r="C58" s="2">
        <v>0</v>
      </c>
      <c r="D58" s="2">
        <v>0</v>
      </c>
      <c r="E58" s="2">
        <v>0</v>
      </c>
      <c r="F58" s="2">
        <v>25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25</v>
      </c>
      <c r="M58" s="2">
        <v>0</v>
      </c>
      <c r="N58" s="2">
        <v>0</v>
      </c>
      <c r="O58" s="36">
        <v>50</v>
      </c>
    </row>
    <row r="59" spans="2:15">
      <c r="B59" s="248" t="s">
        <v>361</v>
      </c>
      <c r="C59" s="2">
        <f>SUM(C54:C57)</f>
        <v>0</v>
      </c>
      <c r="D59" s="2">
        <f t="shared" ref="D59:N59" si="12">SUM(D54:D57)</f>
        <v>0</v>
      </c>
      <c r="E59" s="2">
        <f t="shared" si="12"/>
        <v>0</v>
      </c>
      <c r="F59" s="2">
        <f>SUM(F54:F58)</f>
        <v>91.2</v>
      </c>
      <c r="G59" s="2">
        <f t="shared" si="12"/>
        <v>0</v>
      </c>
      <c r="H59" s="2">
        <f t="shared" si="12"/>
        <v>0</v>
      </c>
      <c r="I59" s="2">
        <f t="shared" si="12"/>
        <v>0</v>
      </c>
      <c r="J59" s="2">
        <f t="shared" si="12"/>
        <v>0</v>
      </c>
      <c r="K59" s="2">
        <f t="shared" si="12"/>
        <v>0</v>
      </c>
      <c r="L59" s="2">
        <f>SUM(L54:L58)</f>
        <v>67.327383112351711</v>
      </c>
      <c r="M59" s="2">
        <f t="shared" si="12"/>
        <v>0</v>
      </c>
      <c r="N59" s="2">
        <f t="shared" si="12"/>
        <v>0</v>
      </c>
      <c r="O59" s="36">
        <f>SUM(O55:O58)</f>
        <v>158.5317515701326</v>
      </c>
    </row>
    <row r="60" spans="2:15">
      <c r="B60" s="24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6"/>
    </row>
    <row r="61" spans="2:15">
      <c r="B61" s="249" t="s">
        <v>439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6">
        <v>0</v>
      </c>
    </row>
    <row r="62" spans="2:15">
      <c r="B62" s="248" t="s">
        <v>356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36">
        <v>0</v>
      </c>
    </row>
    <row r="63" spans="2:15">
      <c r="B63" s="248" t="s">
        <v>360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36">
        <v>0</v>
      </c>
    </row>
    <row r="64" spans="2:15">
      <c r="B64" s="248" t="s">
        <v>369</v>
      </c>
      <c r="C64" s="2">
        <v>0</v>
      </c>
      <c r="D64" s="2">
        <v>0</v>
      </c>
      <c r="E64" s="2">
        <v>15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15</v>
      </c>
      <c r="L64" s="2">
        <v>0</v>
      </c>
      <c r="M64" s="2">
        <v>0</v>
      </c>
      <c r="N64" s="2">
        <v>0</v>
      </c>
      <c r="O64" s="36">
        <v>30</v>
      </c>
    </row>
    <row r="65" spans="2:15">
      <c r="B65" s="248" t="s">
        <v>362</v>
      </c>
      <c r="C65" s="2">
        <f>SUM(C62:C64)</f>
        <v>0</v>
      </c>
      <c r="D65" s="2">
        <f t="shared" ref="D65:O65" si="13">SUM(D62:D64)</f>
        <v>0</v>
      </c>
      <c r="E65" s="2">
        <f t="shared" si="13"/>
        <v>15</v>
      </c>
      <c r="F65" s="2">
        <f t="shared" si="13"/>
        <v>0</v>
      </c>
      <c r="G65" s="2">
        <f t="shared" si="13"/>
        <v>0</v>
      </c>
      <c r="H65" s="2">
        <f t="shared" si="13"/>
        <v>0</v>
      </c>
      <c r="I65" s="2">
        <f t="shared" si="13"/>
        <v>0</v>
      </c>
      <c r="J65" s="2">
        <f t="shared" si="13"/>
        <v>0</v>
      </c>
      <c r="K65" s="2">
        <f t="shared" si="13"/>
        <v>15</v>
      </c>
      <c r="L65" s="2">
        <f t="shared" si="13"/>
        <v>0</v>
      </c>
      <c r="M65" s="2">
        <f t="shared" si="13"/>
        <v>0</v>
      </c>
      <c r="N65" s="2">
        <f t="shared" si="13"/>
        <v>0</v>
      </c>
      <c r="O65" s="36">
        <f t="shared" si="13"/>
        <v>30</v>
      </c>
    </row>
    <row r="66" spans="2:15">
      <c r="B66" s="24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6"/>
    </row>
    <row r="67" spans="2:15">
      <c r="B67" s="250" t="s">
        <v>138</v>
      </c>
      <c r="C67" s="2">
        <f>+C51+C59+C65</f>
        <v>145</v>
      </c>
      <c r="D67" s="2">
        <f t="shared" ref="D67:N67" si="14">+D51+D59+D65</f>
        <v>145</v>
      </c>
      <c r="E67" s="2">
        <f t="shared" si="14"/>
        <v>175</v>
      </c>
      <c r="F67" s="2">
        <f>+F51+F59+F65</f>
        <v>236.2</v>
      </c>
      <c r="G67" s="2">
        <f t="shared" si="14"/>
        <v>140</v>
      </c>
      <c r="H67" s="2">
        <f t="shared" si="14"/>
        <v>145</v>
      </c>
      <c r="I67" s="2">
        <f t="shared" si="14"/>
        <v>145</v>
      </c>
      <c r="J67" s="2">
        <f t="shared" si="14"/>
        <v>145</v>
      </c>
      <c r="K67" s="2">
        <f t="shared" si="14"/>
        <v>180</v>
      </c>
      <c r="L67" s="2">
        <f t="shared" si="14"/>
        <v>212.3273831123517</v>
      </c>
      <c r="M67" s="2">
        <f t="shared" si="14"/>
        <v>140</v>
      </c>
      <c r="N67" s="2">
        <f t="shared" si="14"/>
        <v>220</v>
      </c>
      <c r="O67" s="36"/>
    </row>
    <row r="68" spans="2:15">
      <c r="B68" s="25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6"/>
    </row>
    <row r="69" spans="2:15">
      <c r="B69" s="250" t="s">
        <v>355</v>
      </c>
      <c r="C69" s="2">
        <f>+C43-C67</f>
        <v>5</v>
      </c>
      <c r="D69" s="2">
        <f t="shared" ref="D69:N69" si="15">+D43-D67</f>
        <v>5</v>
      </c>
      <c r="E69" s="2">
        <f t="shared" si="15"/>
        <v>157.15999999999997</v>
      </c>
      <c r="F69" s="2">
        <f>+F43-F67</f>
        <v>-236.2</v>
      </c>
      <c r="G69" s="2">
        <f t="shared" si="15"/>
        <v>10</v>
      </c>
      <c r="H69" s="2">
        <f t="shared" si="15"/>
        <v>5</v>
      </c>
      <c r="I69" s="2">
        <f t="shared" si="15"/>
        <v>5</v>
      </c>
      <c r="J69" s="2">
        <f t="shared" si="15"/>
        <v>5</v>
      </c>
      <c r="K69" s="2">
        <f t="shared" si="15"/>
        <v>239.20000000000005</v>
      </c>
      <c r="L69" s="2">
        <f t="shared" si="15"/>
        <v>-212.3273831123517</v>
      </c>
      <c r="M69" s="2">
        <f t="shared" si="15"/>
        <v>10</v>
      </c>
      <c r="N69" s="2">
        <f t="shared" si="15"/>
        <v>-70</v>
      </c>
      <c r="O69" s="36"/>
    </row>
    <row r="70" spans="2:15" ht="13.5" thickBot="1">
      <c r="B70" s="251" t="s">
        <v>364</v>
      </c>
      <c r="C70" s="150">
        <f>+C69</f>
        <v>5</v>
      </c>
      <c r="D70" s="150">
        <f>+C70+D69</f>
        <v>10</v>
      </c>
      <c r="E70" s="150">
        <f>+D70+E69</f>
        <v>167.15999999999997</v>
      </c>
      <c r="F70" s="150">
        <f t="shared" ref="F70:N70" si="16">+E70+F69</f>
        <v>-69.04000000000002</v>
      </c>
      <c r="G70" s="150">
        <f t="shared" si="16"/>
        <v>-59.04000000000002</v>
      </c>
      <c r="H70" s="150">
        <f t="shared" si="16"/>
        <v>-54.04000000000002</v>
      </c>
      <c r="I70" s="150">
        <f t="shared" si="16"/>
        <v>-49.04000000000002</v>
      </c>
      <c r="J70" s="150">
        <f t="shared" si="16"/>
        <v>-44.04000000000002</v>
      </c>
      <c r="K70" s="150">
        <f t="shared" si="16"/>
        <v>195.16000000000003</v>
      </c>
      <c r="L70" s="150">
        <f t="shared" si="16"/>
        <v>-17.167383112351672</v>
      </c>
      <c r="M70" s="150">
        <f t="shared" si="16"/>
        <v>-7.167383112351672</v>
      </c>
      <c r="N70" s="150">
        <f t="shared" si="16"/>
        <v>-77.167383112351672</v>
      </c>
      <c r="O70" s="150"/>
    </row>
    <row r="72" spans="2:15" ht="13.5" thickBot="1"/>
    <row r="73" spans="2:15" ht="25.5">
      <c r="B73" s="389" t="s">
        <v>442</v>
      </c>
      <c r="C73" s="245" t="s">
        <v>371</v>
      </c>
      <c r="D73" s="245" t="s">
        <v>370</v>
      </c>
      <c r="E73" s="245" t="s">
        <v>372</v>
      </c>
      <c r="F73" s="245" t="s">
        <v>373</v>
      </c>
      <c r="G73" s="245" t="s">
        <v>374</v>
      </c>
      <c r="H73" s="245" t="s">
        <v>375</v>
      </c>
      <c r="I73" s="245" t="s">
        <v>376</v>
      </c>
      <c r="J73" s="245" t="s">
        <v>377</v>
      </c>
      <c r="K73" s="245" t="s">
        <v>378</v>
      </c>
      <c r="L73" s="245" t="s">
        <v>379</v>
      </c>
      <c r="M73" s="245" t="s">
        <v>380</v>
      </c>
      <c r="N73" s="245" t="s">
        <v>381</v>
      </c>
      <c r="O73" s="246" t="s">
        <v>2</v>
      </c>
    </row>
    <row r="74" spans="2:15">
      <c r="B74" s="247" t="s">
        <v>137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6"/>
    </row>
    <row r="75" spans="2:15">
      <c r="B75" s="248" t="s">
        <v>294</v>
      </c>
      <c r="C75" s="2">
        <v>0</v>
      </c>
      <c r="D75" s="2">
        <v>0</v>
      </c>
      <c r="E75" s="2">
        <f>+'COSTOS DE PRODUCCION'!F9*'PRECIOS QUINTALES'!E5</f>
        <v>398.59199999999998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f>+'COSTOS DE PRODUCCION'!F8*'PRECIOS QUINTALES'!E6</f>
        <v>503.04</v>
      </c>
      <c r="L75" s="2">
        <v>0</v>
      </c>
      <c r="M75" s="2">
        <v>0</v>
      </c>
      <c r="N75" s="2">
        <v>0</v>
      </c>
      <c r="O75" s="36">
        <f>SUM(C75:N75)</f>
        <v>901.63200000000006</v>
      </c>
    </row>
    <row r="76" spans="2:15">
      <c r="B76" s="248" t="s">
        <v>368</v>
      </c>
      <c r="C76" s="2">
        <v>150</v>
      </c>
      <c r="D76" s="2">
        <v>150</v>
      </c>
      <c r="E76" s="2">
        <v>0</v>
      </c>
      <c r="F76" s="2">
        <v>0</v>
      </c>
      <c r="G76" s="2">
        <v>150</v>
      </c>
      <c r="H76" s="2">
        <v>150</v>
      </c>
      <c r="I76" s="2">
        <v>150</v>
      </c>
      <c r="J76" s="2">
        <v>150</v>
      </c>
      <c r="K76" s="2">
        <v>0</v>
      </c>
      <c r="L76" s="2">
        <v>0</v>
      </c>
      <c r="M76" s="2">
        <v>150</v>
      </c>
      <c r="N76" s="2">
        <v>150</v>
      </c>
      <c r="O76" s="36">
        <f>SUM(C76:N76)</f>
        <v>1200</v>
      </c>
    </row>
    <row r="77" spans="2:15">
      <c r="B77" s="248" t="s">
        <v>153</v>
      </c>
      <c r="C77" s="2">
        <f>SUM(C75:C76)</f>
        <v>150</v>
      </c>
      <c r="D77" s="2">
        <f t="shared" ref="D77:N77" si="17">SUM(D75:D76)</f>
        <v>150</v>
      </c>
      <c r="E77" s="2">
        <f t="shared" si="17"/>
        <v>398.59199999999998</v>
      </c>
      <c r="F77" s="2">
        <f t="shared" si="17"/>
        <v>0</v>
      </c>
      <c r="G77" s="2">
        <f t="shared" si="17"/>
        <v>150</v>
      </c>
      <c r="H77" s="2">
        <f t="shared" si="17"/>
        <v>150</v>
      </c>
      <c r="I77" s="2">
        <f t="shared" si="17"/>
        <v>150</v>
      </c>
      <c r="J77" s="2">
        <f t="shared" si="17"/>
        <v>150</v>
      </c>
      <c r="K77" s="2">
        <f t="shared" si="17"/>
        <v>503.04</v>
      </c>
      <c r="L77" s="2">
        <f t="shared" si="17"/>
        <v>0</v>
      </c>
      <c r="M77" s="2">
        <f t="shared" si="17"/>
        <v>150</v>
      </c>
      <c r="N77" s="2">
        <f t="shared" si="17"/>
        <v>150</v>
      </c>
      <c r="O77" s="36">
        <f>SUM(O75:O76)</f>
        <v>2101.6320000000001</v>
      </c>
    </row>
    <row r="78" spans="2:15">
      <c r="B78" s="24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6"/>
    </row>
    <row r="79" spans="2:15">
      <c r="B79" s="248" t="s">
        <v>154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6"/>
    </row>
    <row r="80" spans="2:15">
      <c r="B80" s="248" t="s">
        <v>295</v>
      </c>
      <c r="C80" s="2">
        <v>100</v>
      </c>
      <c r="D80" s="2">
        <v>100</v>
      </c>
      <c r="E80" s="2">
        <v>100</v>
      </c>
      <c r="F80" s="2">
        <v>100</v>
      </c>
      <c r="G80" s="2">
        <v>100</v>
      </c>
      <c r="H80" s="2">
        <v>100</v>
      </c>
      <c r="I80" s="2">
        <v>100</v>
      </c>
      <c r="J80" s="2">
        <v>100</v>
      </c>
      <c r="K80" s="2">
        <v>100</v>
      </c>
      <c r="L80" s="2">
        <v>100</v>
      </c>
      <c r="M80" s="2">
        <v>100</v>
      </c>
      <c r="N80" s="2">
        <v>150</v>
      </c>
      <c r="O80" s="36">
        <f>SUM(C80:N80)</f>
        <v>1250</v>
      </c>
    </row>
    <row r="81" spans="2:15">
      <c r="B81" s="248" t="s">
        <v>296</v>
      </c>
      <c r="C81" s="2">
        <v>20</v>
      </c>
      <c r="D81" s="2">
        <v>20</v>
      </c>
      <c r="E81" s="2">
        <v>20</v>
      </c>
      <c r="F81" s="2">
        <v>20</v>
      </c>
      <c r="G81" s="2">
        <v>20</v>
      </c>
      <c r="H81" s="2">
        <v>20</v>
      </c>
      <c r="I81" s="2">
        <v>20</v>
      </c>
      <c r="J81" s="2">
        <v>20</v>
      </c>
      <c r="K81" s="2">
        <v>40</v>
      </c>
      <c r="L81" s="2">
        <v>20</v>
      </c>
      <c r="M81" s="2">
        <v>20</v>
      </c>
      <c r="N81" s="2">
        <v>20</v>
      </c>
      <c r="O81" s="36">
        <f t="shared" ref="O81:O84" si="18">SUM(C81:N81)</f>
        <v>260</v>
      </c>
    </row>
    <row r="82" spans="2:15">
      <c r="B82" s="248" t="s">
        <v>297</v>
      </c>
      <c r="C82" s="2">
        <v>5</v>
      </c>
      <c r="D82" s="2">
        <v>5</v>
      </c>
      <c r="E82" s="2">
        <v>20</v>
      </c>
      <c r="F82" s="2">
        <v>5</v>
      </c>
      <c r="G82" s="2">
        <v>5</v>
      </c>
      <c r="H82" s="2">
        <v>5</v>
      </c>
      <c r="I82" s="2">
        <v>5</v>
      </c>
      <c r="J82" s="2">
        <v>5</v>
      </c>
      <c r="K82" s="2">
        <v>5</v>
      </c>
      <c r="L82" s="2">
        <v>5</v>
      </c>
      <c r="M82" s="2">
        <v>5</v>
      </c>
      <c r="N82" s="2">
        <v>25</v>
      </c>
      <c r="O82" s="36">
        <f t="shared" si="18"/>
        <v>95</v>
      </c>
    </row>
    <row r="83" spans="2:15">
      <c r="B83" s="248" t="s">
        <v>298</v>
      </c>
      <c r="C83" s="2">
        <v>5</v>
      </c>
      <c r="D83" s="2">
        <v>5</v>
      </c>
      <c r="E83" s="2">
        <v>5</v>
      </c>
      <c r="F83" s="2">
        <v>5</v>
      </c>
      <c r="G83" s="2">
        <v>5</v>
      </c>
      <c r="H83" s="2">
        <v>5</v>
      </c>
      <c r="I83" s="2">
        <v>5</v>
      </c>
      <c r="J83" s="2">
        <v>5</v>
      </c>
      <c r="K83" s="2">
        <v>5</v>
      </c>
      <c r="L83" s="2">
        <v>5</v>
      </c>
      <c r="M83" s="2">
        <v>5</v>
      </c>
      <c r="N83" s="2">
        <v>5</v>
      </c>
      <c r="O83" s="36">
        <f t="shared" si="18"/>
        <v>60</v>
      </c>
    </row>
    <row r="84" spans="2:15">
      <c r="B84" s="248" t="s">
        <v>58</v>
      </c>
      <c r="C84" s="2">
        <v>15</v>
      </c>
      <c r="D84" s="2">
        <v>15</v>
      </c>
      <c r="E84" s="2">
        <v>15</v>
      </c>
      <c r="F84" s="2">
        <v>15</v>
      </c>
      <c r="G84" s="2">
        <v>10</v>
      </c>
      <c r="H84" s="2">
        <v>15</v>
      </c>
      <c r="I84" s="2">
        <v>15</v>
      </c>
      <c r="J84" s="2">
        <v>15</v>
      </c>
      <c r="K84" s="2">
        <v>15</v>
      </c>
      <c r="L84" s="2">
        <v>15</v>
      </c>
      <c r="M84" s="2">
        <v>10</v>
      </c>
      <c r="N84" s="2">
        <v>20</v>
      </c>
      <c r="O84" s="36">
        <f t="shared" si="18"/>
        <v>175</v>
      </c>
    </row>
    <row r="85" spans="2:15">
      <c r="B85" s="248" t="s">
        <v>352</v>
      </c>
      <c r="C85" s="2">
        <f>SUM(C80:C84)</f>
        <v>145</v>
      </c>
      <c r="D85" s="2">
        <f t="shared" ref="D85:N85" si="19">SUM(D80:D84)</f>
        <v>145</v>
      </c>
      <c r="E85" s="2">
        <f t="shared" si="19"/>
        <v>160</v>
      </c>
      <c r="F85" s="2">
        <f t="shared" si="19"/>
        <v>145</v>
      </c>
      <c r="G85" s="2">
        <f t="shared" si="19"/>
        <v>140</v>
      </c>
      <c r="H85" s="2">
        <f t="shared" si="19"/>
        <v>145</v>
      </c>
      <c r="I85" s="2">
        <f t="shared" si="19"/>
        <v>145</v>
      </c>
      <c r="J85" s="2">
        <f t="shared" si="19"/>
        <v>145</v>
      </c>
      <c r="K85" s="2">
        <f t="shared" si="19"/>
        <v>165</v>
      </c>
      <c r="L85" s="2">
        <f t="shared" si="19"/>
        <v>145</v>
      </c>
      <c r="M85" s="2">
        <f t="shared" si="19"/>
        <v>140</v>
      </c>
      <c r="N85" s="2">
        <f t="shared" si="19"/>
        <v>220</v>
      </c>
      <c r="O85" s="36">
        <f>SUM(O80:O84)</f>
        <v>1840</v>
      </c>
    </row>
    <row r="86" spans="2:15">
      <c r="B86" s="24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6"/>
    </row>
    <row r="87" spans="2:15">
      <c r="B87" s="249" t="s">
        <v>438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6"/>
    </row>
    <row r="88" spans="2:15">
      <c r="B88" s="248" t="s">
        <v>356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36">
        <v>0</v>
      </c>
    </row>
    <row r="89" spans="2:15">
      <c r="B89" s="248" t="s">
        <v>329</v>
      </c>
      <c r="C89" s="2">
        <v>0</v>
      </c>
      <c r="D89" s="2">
        <v>0</v>
      </c>
      <c r="E89" s="2">
        <v>0</v>
      </c>
      <c r="F89" s="2">
        <v>14.862205163991627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9.5020655966503842</v>
      </c>
      <c r="M89" s="2">
        <v>0</v>
      </c>
      <c r="N89" s="2">
        <v>0</v>
      </c>
      <c r="O89" s="36">
        <v>24.364270760642011</v>
      </c>
    </row>
    <row r="90" spans="2:15">
      <c r="B90" s="248" t="s">
        <v>330</v>
      </c>
      <c r="C90" s="2">
        <v>0</v>
      </c>
      <c r="D90" s="2">
        <v>0</v>
      </c>
      <c r="E90" s="2">
        <v>0</v>
      </c>
      <c r="F90" s="2">
        <v>33.957886950453599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21.710780181437542</v>
      </c>
      <c r="M90" s="2">
        <v>0</v>
      </c>
      <c r="N90" s="2">
        <v>0</v>
      </c>
      <c r="O90" s="36">
        <v>55.668667131891141</v>
      </c>
    </row>
    <row r="91" spans="2:15">
      <c r="B91" s="248" t="s">
        <v>357</v>
      </c>
      <c r="C91" s="2">
        <v>0</v>
      </c>
      <c r="D91" s="2">
        <v>0</v>
      </c>
      <c r="E91" s="2">
        <v>0</v>
      </c>
      <c r="F91" s="2">
        <v>17.38427634333566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11.114537334263783</v>
      </c>
      <c r="M91" s="2">
        <v>0</v>
      </c>
      <c r="N91" s="2">
        <v>0</v>
      </c>
      <c r="O91" s="36">
        <v>28.498813677599443</v>
      </c>
    </row>
    <row r="92" spans="2:15">
      <c r="B92" s="248" t="s">
        <v>365</v>
      </c>
      <c r="C92" s="2">
        <v>0</v>
      </c>
      <c r="D92" s="2">
        <v>0</v>
      </c>
      <c r="E92" s="2">
        <v>0</v>
      </c>
      <c r="F92" s="2">
        <v>25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25</v>
      </c>
      <c r="M92" s="2">
        <v>0</v>
      </c>
      <c r="N92" s="2">
        <v>0</v>
      </c>
      <c r="O92" s="36">
        <v>50</v>
      </c>
    </row>
    <row r="93" spans="2:15">
      <c r="B93" s="248" t="s">
        <v>361</v>
      </c>
      <c r="C93" s="2">
        <f>SUM(C88:C91)</f>
        <v>0</v>
      </c>
      <c r="D93" s="2">
        <f t="shared" ref="D93:N93" si="20">SUM(D88:D91)</f>
        <v>0</v>
      </c>
      <c r="E93" s="2">
        <f t="shared" si="20"/>
        <v>0</v>
      </c>
      <c r="F93" s="2">
        <f>SUM(F88:F92)</f>
        <v>91.204368457780888</v>
      </c>
      <c r="G93" s="2">
        <f t="shared" si="20"/>
        <v>0</v>
      </c>
      <c r="H93" s="2">
        <f t="shared" si="20"/>
        <v>0</v>
      </c>
      <c r="I93" s="2">
        <f t="shared" si="20"/>
        <v>0</v>
      </c>
      <c r="J93" s="2">
        <f t="shared" si="20"/>
        <v>0</v>
      </c>
      <c r="K93" s="2">
        <f t="shared" si="20"/>
        <v>0</v>
      </c>
      <c r="L93" s="2">
        <f>SUM(L88:L92)</f>
        <v>67.327383112351711</v>
      </c>
      <c r="M93" s="2">
        <f t="shared" si="20"/>
        <v>0</v>
      </c>
      <c r="N93" s="2">
        <f t="shared" si="20"/>
        <v>0</v>
      </c>
      <c r="O93" s="36">
        <f>SUM(O88:O92)</f>
        <v>158.5317515701326</v>
      </c>
    </row>
    <row r="94" spans="2:15">
      <c r="B94" s="24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6"/>
    </row>
    <row r="95" spans="2:15">
      <c r="B95" s="249" t="s">
        <v>439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6"/>
    </row>
    <row r="96" spans="2:15">
      <c r="B96" s="248" t="s">
        <v>356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36">
        <v>0</v>
      </c>
    </row>
    <row r="97" spans="2:15">
      <c r="B97" s="248" t="s">
        <v>360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36">
        <v>0</v>
      </c>
    </row>
    <row r="98" spans="2:15">
      <c r="B98" s="248" t="s">
        <v>369</v>
      </c>
      <c r="C98" s="2">
        <v>0</v>
      </c>
      <c r="D98" s="2">
        <v>0</v>
      </c>
      <c r="E98" s="2">
        <v>15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15</v>
      </c>
      <c r="L98" s="2">
        <v>0</v>
      </c>
      <c r="M98" s="2">
        <v>0</v>
      </c>
      <c r="N98" s="2">
        <v>0</v>
      </c>
      <c r="O98" s="36">
        <v>30</v>
      </c>
    </row>
    <row r="99" spans="2:15">
      <c r="B99" s="248" t="s">
        <v>362</v>
      </c>
      <c r="C99" s="2">
        <f>SUM(C96:C98)</f>
        <v>0</v>
      </c>
      <c r="D99" s="2">
        <f t="shared" ref="D99:O99" si="21">SUM(D96:D98)</f>
        <v>0</v>
      </c>
      <c r="E99" s="2">
        <f t="shared" si="21"/>
        <v>15</v>
      </c>
      <c r="F99" s="2">
        <f t="shared" si="21"/>
        <v>0</v>
      </c>
      <c r="G99" s="2">
        <f t="shared" si="21"/>
        <v>0</v>
      </c>
      <c r="H99" s="2">
        <f t="shared" si="21"/>
        <v>0</v>
      </c>
      <c r="I99" s="2">
        <f t="shared" si="21"/>
        <v>0</v>
      </c>
      <c r="J99" s="2">
        <f t="shared" si="21"/>
        <v>0</v>
      </c>
      <c r="K99" s="2">
        <f t="shared" si="21"/>
        <v>15</v>
      </c>
      <c r="L99" s="2">
        <f t="shared" si="21"/>
        <v>0</v>
      </c>
      <c r="M99" s="2">
        <f t="shared" si="21"/>
        <v>0</v>
      </c>
      <c r="N99" s="2">
        <f t="shared" si="21"/>
        <v>0</v>
      </c>
      <c r="O99" s="36">
        <f t="shared" si="21"/>
        <v>30</v>
      </c>
    </row>
    <row r="100" spans="2:15">
      <c r="B100" s="24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6"/>
    </row>
    <row r="101" spans="2:15">
      <c r="B101" s="250" t="s">
        <v>138</v>
      </c>
      <c r="C101" s="2">
        <f>+C85+C93+C99</f>
        <v>145</v>
      </c>
      <c r="D101" s="2">
        <f t="shared" ref="D101:O101" si="22">+D85+D93+D99</f>
        <v>145</v>
      </c>
      <c r="E101" s="2">
        <f t="shared" si="22"/>
        <v>175</v>
      </c>
      <c r="F101" s="2">
        <f t="shared" si="22"/>
        <v>236.2043684577809</v>
      </c>
      <c r="G101" s="2">
        <f t="shared" si="22"/>
        <v>140</v>
      </c>
      <c r="H101" s="2">
        <f t="shared" si="22"/>
        <v>145</v>
      </c>
      <c r="I101" s="2">
        <f t="shared" si="22"/>
        <v>145</v>
      </c>
      <c r="J101" s="2">
        <f t="shared" si="22"/>
        <v>145</v>
      </c>
      <c r="K101" s="2">
        <f t="shared" si="22"/>
        <v>180</v>
      </c>
      <c r="L101" s="2">
        <f t="shared" si="22"/>
        <v>212.3273831123517</v>
      </c>
      <c r="M101" s="2">
        <f t="shared" si="22"/>
        <v>140</v>
      </c>
      <c r="N101" s="2">
        <f t="shared" si="22"/>
        <v>220</v>
      </c>
      <c r="O101" s="36">
        <f t="shared" si="22"/>
        <v>2028.5317515701327</v>
      </c>
    </row>
    <row r="102" spans="2:15">
      <c r="B102" s="25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6"/>
    </row>
    <row r="103" spans="2:15">
      <c r="B103" s="250" t="s">
        <v>355</v>
      </c>
      <c r="C103" s="2">
        <f>+C77-C101</f>
        <v>5</v>
      </c>
      <c r="D103" s="2">
        <f t="shared" ref="D103:O103" si="23">+D77-D101</f>
        <v>5</v>
      </c>
      <c r="E103" s="2">
        <f t="shared" si="23"/>
        <v>223.59199999999998</v>
      </c>
      <c r="F103" s="2">
        <f t="shared" si="23"/>
        <v>-236.2043684577809</v>
      </c>
      <c r="G103" s="2">
        <f t="shared" si="23"/>
        <v>10</v>
      </c>
      <c r="H103" s="2">
        <f t="shared" si="23"/>
        <v>5</v>
      </c>
      <c r="I103" s="2">
        <f t="shared" si="23"/>
        <v>5</v>
      </c>
      <c r="J103" s="2">
        <f t="shared" si="23"/>
        <v>5</v>
      </c>
      <c r="K103" s="2">
        <f t="shared" si="23"/>
        <v>323.04000000000002</v>
      </c>
      <c r="L103" s="2">
        <f t="shared" si="23"/>
        <v>-212.3273831123517</v>
      </c>
      <c r="M103" s="2">
        <f t="shared" si="23"/>
        <v>10</v>
      </c>
      <c r="N103" s="2">
        <f t="shared" si="23"/>
        <v>-70</v>
      </c>
      <c r="O103" s="36">
        <f t="shared" si="23"/>
        <v>73.100248429867406</v>
      </c>
    </row>
    <row r="104" spans="2:15" ht="13.5" thickBot="1">
      <c r="B104" s="251" t="s">
        <v>364</v>
      </c>
      <c r="C104" s="150">
        <f>+C103</f>
        <v>5</v>
      </c>
      <c r="D104" s="150">
        <f>+C104+D103</f>
        <v>10</v>
      </c>
      <c r="E104" s="150">
        <f>+D104+E103</f>
        <v>233.59199999999998</v>
      </c>
      <c r="F104" s="150">
        <f t="shared" ref="F104" si="24">+E104+F103</f>
        <v>-2.6123684577809172</v>
      </c>
      <c r="G104" s="150">
        <f t="shared" ref="G104" si="25">+F104+G103</f>
        <v>7.3876315422190828</v>
      </c>
      <c r="H104" s="150">
        <f t="shared" ref="H104" si="26">+G104+H103</f>
        <v>12.387631542219083</v>
      </c>
      <c r="I104" s="150">
        <f t="shared" ref="I104" si="27">+H104+I103</f>
        <v>17.387631542219083</v>
      </c>
      <c r="J104" s="150">
        <f t="shared" ref="J104" si="28">+I104+J103</f>
        <v>22.387631542219083</v>
      </c>
      <c r="K104" s="150">
        <f t="shared" ref="K104" si="29">+J104+K103</f>
        <v>345.4276315422191</v>
      </c>
      <c r="L104" s="150">
        <f t="shared" ref="L104" si="30">+K104+L103</f>
        <v>133.10024842986741</v>
      </c>
      <c r="M104" s="150">
        <f t="shared" ref="M104" si="31">+L104+M103</f>
        <v>143.10024842986741</v>
      </c>
      <c r="N104" s="150">
        <f t="shared" ref="N104" si="32">+M104+N103</f>
        <v>73.100248429867406</v>
      </c>
      <c r="O104" s="150">
        <f t="shared" ref="O104" si="33">+N104+O103</f>
        <v>146.20049685973481</v>
      </c>
    </row>
    <row r="106" spans="2:15" ht="13.5" thickBot="1"/>
    <row r="107" spans="2:15" ht="25.5">
      <c r="B107" s="389" t="s">
        <v>443</v>
      </c>
      <c r="C107" s="245" t="s">
        <v>371</v>
      </c>
      <c r="D107" s="245" t="s">
        <v>370</v>
      </c>
      <c r="E107" s="245" t="s">
        <v>372</v>
      </c>
      <c r="F107" s="245" t="s">
        <v>373</v>
      </c>
      <c r="G107" s="245" t="s">
        <v>374</v>
      </c>
      <c r="H107" s="245" t="s">
        <v>375</v>
      </c>
      <c r="I107" s="245" t="s">
        <v>376</v>
      </c>
      <c r="J107" s="245" t="s">
        <v>377</v>
      </c>
      <c r="K107" s="245" t="s">
        <v>378</v>
      </c>
      <c r="L107" s="245" t="s">
        <v>379</v>
      </c>
      <c r="M107" s="245" t="s">
        <v>380</v>
      </c>
      <c r="N107" s="245" t="s">
        <v>381</v>
      </c>
      <c r="O107" s="246" t="s">
        <v>2</v>
      </c>
    </row>
    <row r="108" spans="2:15">
      <c r="B108" s="247" t="s">
        <v>137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6"/>
    </row>
    <row r="109" spans="2:15">
      <c r="B109" s="248" t="s">
        <v>294</v>
      </c>
      <c r="C109" s="2">
        <v>0</v>
      </c>
      <c r="D109" s="2">
        <v>0</v>
      </c>
      <c r="E109" s="2">
        <f>+'COSTOS DE PRODUCCION'!F9*'PRECIOS QUINTALES'!F5</f>
        <v>431.80799999999999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411">
        <f>+'COSTOS DE PRODUCCION'!F8*'PRECIOS QUINTALES'!F6</f>
        <v>544.96</v>
      </c>
      <c r="L109" s="2">
        <v>0</v>
      </c>
      <c r="M109" s="2">
        <v>0</v>
      </c>
      <c r="N109" s="2">
        <v>0</v>
      </c>
      <c r="O109" s="36">
        <f>SUM(C109:N109)</f>
        <v>976.76800000000003</v>
      </c>
    </row>
    <row r="110" spans="2:15">
      <c r="B110" s="248" t="s">
        <v>368</v>
      </c>
      <c r="C110" s="2">
        <v>150</v>
      </c>
      <c r="D110" s="2">
        <v>150</v>
      </c>
      <c r="E110" s="2">
        <v>0</v>
      </c>
      <c r="F110" s="2">
        <v>0</v>
      </c>
      <c r="G110" s="2">
        <v>150</v>
      </c>
      <c r="H110" s="2">
        <v>150</v>
      </c>
      <c r="I110" s="2">
        <v>150</v>
      </c>
      <c r="J110" s="2">
        <v>150</v>
      </c>
      <c r="K110" s="2">
        <v>0</v>
      </c>
      <c r="L110" s="2">
        <v>0</v>
      </c>
      <c r="M110" s="2">
        <v>150</v>
      </c>
      <c r="N110" s="2">
        <v>150</v>
      </c>
      <c r="O110" s="36">
        <f>SUM(C110:N110)</f>
        <v>1200</v>
      </c>
    </row>
    <row r="111" spans="2:15">
      <c r="B111" s="248" t="s">
        <v>153</v>
      </c>
      <c r="C111" s="2">
        <f>SUM(C109:C110)</f>
        <v>150</v>
      </c>
      <c r="D111" s="2">
        <f t="shared" ref="D111:N111" si="34">SUM(D109:D110)</f>
        <v>150</v>
      </c>
      <c r="E111" s="2">
        <f t="shared" si="34"/>
        <v>431.80799999999999</v>
      </c>
      <c r="F111" s="2">
        <f t="shared" si="34"/>
        <v>0</v>
      </c>
      <c r="G111" s="2">
        <f t="shared" si="34"/>
        <v>150</v>
      </c>
      <c r="H111" s="2">
        <f t="shared" si="34"/>
        <v>150</v>
      </c>
      <c r="I111" s="2">
        <f t="shared" si="34"/>
        <v>150</v>
      </c>
      <c r="J111" s="2">
        <f t="shared" si="34"/>
        <v>150</v>
      </c>
      <c r="K111" s="2">
        <f t="shared" si="34"/>
        <v>544.96</v>
      </c>
      <c r="L111" s="2">
        <f t="shared" si="34"/>
        <v>0</v>
      </c>
      <c r="M111" s="2">
        <f t="shared" si="34"/>
        <v>150</v>
      </c>
      <c r="N111" s="2">
        <f t="shared" si="34"/>
        <v>150</v>
      </c>
      <c r="O111" s="36">
        <f>SUM(O109:O110)</f>
        <v>2176.768</v>
      </c>
    </row>
    <row r="112" spans="2:15">
      <c r="B112" s="24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6"/>
    </row>
    <row r="113" spans="2:15">
      <c r="B113" s="248" t="s">
        <v>154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6"/>
    </row>
    <row r="114" spans="2:15">
      <c r="B114" s="248" t="s">
        <v>295</v>
      </c>
      <c r="C114" s="2">
        <v>100</v>
      </c>
      <c r="D114" s="2">
        <v>100</v>
      </c>
      <c r="E114" s="2">
        <v>100</v>
      </c>
      <c r="F114" s="2">
        <v>100</v>
      </c>
      <c r="G114" s="2">
        <v>100</v>
      </c>
      <c r="H114" s="2">
        <v>100</v>
      </c>
      <c r="I114" s="2">
        <v>100</v>
      </c>
      <c r="J114" s="2">
        <v>100</v>
      </c>
      <c r="K114" s="2">
        <v>100</v>
      </c>
      <c r="L114" s="2">
        <v>100</v>
      </c>
      <c r="M114" s="2">
        <v>100</v>
      </c>
      <c r="N114" s="2">
        <v>150</v>
      </c>
      <c r="O114" s="36">
        <f>SUM(C114:N114)</f>
        <v>1250</v>
      </c>
    </row>
    <row r="115" spans="2:15">
      <c r="B115" s="248" t="s">
        <v>296</v>
      </c>
      <c r="C115" s="2">
        <v>20</v>
      </c>
      <c r="D115" s="2">
        <v>20</v>
      </c>
      <c r="E115" s="2">
        <v>20</v>
      </c>
      <c r="F115" s="2">
        <v>20</v>
      </c>
      <c r="G115" s="2">
        <v>20</v>
      </c>
      <c r="H115" s="2">
        <v>20</v>
      </c>
      <c r="I115" s="2">
        <v>20</v>
      </c>
      <c r="J115" s="2">
        <v>20</v>
      </c>
      <c r="K115" s="2">
        <v>40</v>
      </c>
      <c r="L115" s="2">
        <v>20</v>
      </c>
      <c r="M115" s="2">
        <v>20</v>
      </c>
      <c r="N115" s="2">
        <v>20</v>
      </c>
      <c r="O115" s="36">
        <f t="shared" ref="O115:O118" si="35">SUM(C115:N115)</f>
        <v>260</v>
      </c>
    </row>
    <row r="116" spans="2:15">
      <c r="B116" s="248" t="s">
        <v>297</v>
      </c>
      <c r="C116" s="2">
        <v>5</v>
      </c>
      <c r="D116" s="2">
        <v>5</v>
      </c>
      <c r="E116" s="2">
        <v>20</v>
      </c>
      <c r="F116" s="2">
        <v>5</v>
      </c>
      <c r="G116" s="2">
        <v>5</v>
      </c>
      <c r="H116" s="2">
        <v>5</v>
      </c>
      <c r="I116" s="2">
        <v>5</v>
      </c>
      <c r="J116" s="2">
        <v>5</v>
      </c>
      <c r="K116" s="2">
        <v>5</v>
      </c>
      <c r="L116" s="2">
        <v>5</v>
      </c>
      <c r="M116" s="2">
        <v>5</v>
      </c>
      <c r="N116" s="2">
        <v>25</v>
      </c>
      <c r="O116" s="36">
        <f t="shared" si="35"/>
        <v>95</v>
      </c>
    </row>
    <row r="117" spans="2:15">
      <c r="B117" s="248" t="s">
        <v>298</v>
      </c>
      <c r="C117" s="2">
        <v>5</v>
      </c>
      <c r="D117" s="2">
        <v>5</v>
      </c>
      <c r="E117" s="2">
        <v>5</v>
      </c>
      <c r="F117" s="2">
        <v>5</v>
      </c>
      <c r="G117" s="2">
        <v>5</v>
      </c>
      <c r="H117" s="2">
        <v>5</v>
      </c>
      <c r="I117" s="2">
        <v>5</v>
      </c>
      <c r="J117" s="2">
        <v>5</v>
      </c>
      <c r="K117" s="2">
        <v>5</v>
      </c>
      <c r="L117" s="2">
        <v>5</v>
      </c>
      <c r="M117" s="2">
        <v>5</v>
      </c>
      <c r="N117" s="2">
        <v>5</v>
      </c>
      <c r="O117" s="36">
        <f t="shared" si="35"/>
        <v>60</v>
      </c>
    </row>
    <row r="118" spans="2:15">
      <c r="B118" s="248" t="s">
        <v>58</v>
      </c>
      <c r="C118" s="2">
        <v>15</v>
      </c>
      <c r="D118" s="2">
        <v>15</v>
      </c>
      <c r="E118" s="2">
        <v>15</v>
      </c>
      <c r="F118" s="2">
        <v>15</v>
      </c>
      <c r="G118" s="2">
        <v>10</v>
      </c>
      <c r="H118" s="2">
        <v>15</v>
      </c>
      <c r="I118" s="2">
        <v>15</v>
      </c>
      <c r="J118" s="2">
        <v>15</v>
      </c>
      <c r="K118" s="2">
        <v>15</v>
      </c>
      <c r="L118" s="2">
        <v>15</v>
      </c>
      <c r="M118" s="2">
        <v>10</v>
      </c>
      <c r="N118" s="2">
        <v>20</v>
      </c>
      <c r="O118" s="36">
        <f t="shared" si="35"/>
        <v>175</v>
      </c>
    </row>
    <row r="119" spans="2:15">
      <c r="B119" s="248" t="s">
        <v>352</v>
      </c>
      <c r="C119" s="2">
        <f>SUM(C114:C118)</f>
        <v>145</v>
      </c>
      <c r="D119" s="2">
        <f t="shared" ref="D119:N119" si="36">SUM(D114:D118)</f>
        <v>145</v>
      </c>
      <c r="E119" s="2">
        <f t="shared" si="36"/>
        <v>160</v>
      </c>
      <c r="F119" s="2">
        <f t="shared" si="36"/>
        <v>145</v>
      </c>
      <c r="G119" s="2">
        <f t="shared" si="36"/>
        <v>140</v>
      </c>
      <c r="H119" s="2">
        <f t="shared" si="36"/>
        <v>145</v>
      </c>
      <c r="I119" s="2">
        <f t="shared" si="36"/>
        <v>145</v>
      </c>
      <c r="J119" s="2">
        <f t="shared" si="36"/>
        <v>145</v>
      </c>
      <c r="K119" s="2">
        <f t="shared" si="36"/>
        <v>165</v>
      </c>
      <c r="L119" s="2">
        <f t="shared" si="36"/>
        <v>145</v>
      </c>
      <c r="M119" s="2">
        <f t="shared" si="36"/>
        <v>140</v>
      </c>
      <c r="N119" s="2">
        <f t="shared" si="36"/>
        <v>220</v>
      </c>
      <c r="O119" s="36">
        <f>SUM(O114:O118)</f>
        <v>1840</v>
      </c>
    </row>
    <row r="120" spans="2:15">
      <c r="B120" s="24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6"/>
    </row>
    <row r="121" spans="2:15">
      <c r="B121" s="249" t="s">
        <v>438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6"/>
    </row>
    <row r="122" spans="2:15">
      <c r="B122" s="248" t="s">
        <v>356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36">
        <v>0</v>
      </c>
    </row>
    <row r="123" spans="2:15">
      <c r="B123" s="248" t="s">
        <v>329</v>
      </c>
      <c r="C123" s="2">
        <v>0</v>
      </c>
      <c r="D123" s="2">
        <v>0</v>
      </c>
      <c r="E123" s="2">
        <v>0</v>
      </c>
      <c r="F123" s="2">
        <v>14.862205163991627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9.5020655966503842</v>
      </c>
      <c r="M123" s="2">
        <v>0</v>
      </c>
      <c r="N123" s="2">
        <v>0</v>
      </c>
      <c r="O123" s="36">
        <f>SUM(C123:N123)</f>
        <v>24.364270760642011</v>
      </c>
    </row>
    <row r="124" spans="2:15">
      <c r="B124" s="248" t="s">
        <v>330</v>
      </c>
      <c r="C124" s="2">
        <v>0</v>
      </c>
      <c r="D124" s="2">
        <v>0</v>
      </c>
      <c r="E124" s="2">
        <v>0</v>
      </c>
      <c r="F124" s="2">
        <v>33.957886950453599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21.710780181437542</v>
      </c>
      <c r="M124" s="2">
        <v>0</v>
      </c>
      <c r="N124" s="2">
        <v>0</v>
      </c>
      <c r="O124" s="36">
        <f t="shared" ref="O124:O126" si="37">SUM(C124:N124)</f>
        <v>55.668667131891141</v>
      </c>
    </row>
    <row r="125" spans="2:15">
      <c r="B125" s="248" t="s">
        <v>357</v>
      </c>
      <c r="C125" s="2">
        <v>0</v>
      </c>
      <c r="D125" s="2">
        <v>0</v>
      </c>
      <c r="E125" s="2">
        <v>0</v>
      </c>
      <c r="F125" s="2">
        <v>17.38427634333566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11.114537334263783</v>
      </c>
      <c r="M125" s="2">
        <v>0</v>
      </c>
      <c r="N125" s="2">
        <v>0</v>
      </c>
      <c r="O125" s="36">
        <f t="shared" si="37"/>
        <v>28.498813677599443</v>
      </c>
    </row>
    <row r="126" spans="2:15">
      <c r="B126" s="248" t="s">
        <v>365</v>
      </c>
      <c r="C126" s="2">
        <v>0</v>
      </c>
      <c r="D126" s="2">
        <v>0</v>
      </c>
      <c r="E126" s="2">
        <v>0</v>
      </c>
      <c r="F126" s="2">
        <v>25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25</v>
      </c>
      <c r="M126" s="2">
        <v>0</v>
      </c>
      <c r="N126" s="2">
        <v>0</v>
      </c>
      <c r="O126" s="36">
        <f t="shared" si="37"/>
        <v>50</v>
      </c>
    </row>
    <row r="127" spans="2:15">
      <c r="B127" s="248" t="s">
        <v>361</v>
      </c>
      <c r="C127" s="2">
        <f>SUM(C122:C126)</f>
        <v>0</v>
      </c>
      <c r="D127" s="2">
        <f t="shared" ref="D127:O127" si="38">SUM(D122:D126)</f>
        <v>0</v>
      </c>
      <c r="E127" s="2">
        <f t="shared" si="38"/>
        <v>0</v>
      </c>
      <c r="F127" s="2">
        <f t="shared" si="38"/>
        <v>91.204368457780888</v>
      </c>
      <c r="G127" s="2">
        <f t="shared" si="38"/>
        <v>0</v>
      </c>
      <c r="H127" s="2">
        <f t="shared" si="38"/>
        <v>0</v>
      </c>
      <c r="I127" s="2">
        <f t="shared" si="38"/>
        <v>0</v>
      </c>
      <c r="J127" s="2">
        <f t="shared" si="38"/>
        <v>0</v>
      </c>
      <c r="K127" s="2">
        <f t="shared" si="38"/>
        <v>0</v>
      </c>
      <c r="L127" s="2">
        <f t="shared" si="38"/>
        <v>67.327383112351711</v>
      </c>
      <c r="M127" s="2">
        <f t="shared" si="38"/>
        <v>0</v>
      </c>
      <c r="N127" s="2">
        <f t="shared" si="38"/>
        <v>0</v>
      </c>
      <c r="O127" s="2">
        <f t="shared" si="38"/>
        <v>158.5317515701326</v>
      </c>
    </row>
    <row r="128" spans="2:15">
      <c r="B128" s="24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6"/>
    </row>
    <row r="129" spans="2:15">
      <c r="B129" s="249" t="s">
        <v>439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6">
        <v>0</v>
      </c>
    </row>
    <row r="130" spans="2:15">
      <c r="B130" s="248" t="s">
        <v>356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36">
        <v>0</v>
      </c>
    </row>
    <row r="131" spans="2:15">
      <c r="B131" s="248" t="s">
        <v>360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36">
        <v>0</v>
      </c>
    </row>
    <row r="132" spans="2:15">
      <c r="B132" s="248" t="s">
        <v>369</v>
      </c>
      <c r="C132" s="2">
        <v>0</v>
      </c>
      <c r="D132" s="2">
        <v>0</v>
      </c>
      <c r="E132" s="2">
        <v>15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15</v>
      </c>
      <c r="L132" s="2">
        <v>0</v>
      </c>
      <c r="M132" s="2">
        <v>0</v>
      </c>
      <c r="N132" s="2">
        <v>0</v>
      </c>
      <c r="O132" s="36">
        <v>30</v>
      </c>
    </row>
    <row r="133" spans="2:15">
      <c r="B133" s="248" t="s">
        <v>362</v>
      </c>
      <c r="C133" s="2">
        <f>SUM(C130:C132)</f>
        <v>0</v>
      </c>
      <c r="D133" s="2">
        <f t="shared" ref="D133:O133" si="39">SUM(D130:D132)</f>
        <v>0</v>
      </c>
      <c r="E133" s="2">
        <f t="shared" si="39"/>
        <v>15</v>
      </c>
      <c r="F133" s="2">
        <f t="shared" si="39"/>
        <v>0</v>
      </c>
      <c r="G133" s="2">
        <f t="shared" si="39"/>
        <v>0</v>
      </c>
      <c r="H133" s="2">
        <f t="shared" si="39"/>
        <v>0</v>
      </c>
      <c r="I133" s="2">
        <f t="shared" si="39"/>
        <v>0</v>
      </c>
      <c r="J133" s="2">
        <f t="shared" si="39"/>
        <v>0</v>
      </c>
      <c r="K133" s="2">
        <f t="shared" si="39"/>
        <v>15</v>
      </c>
      <c r="L133" s="2">
        <f t="shared" si="39"/>
        <v>0</v>
      </c>
      <c r="M133" s="2">
        <f t="shared" si="39"/>
        <v>0</v>
      </c>
      <c r="N133" s="2">
        <f t="shared" si="39"/>
        <v>0</v>
      </c>
      <c r="O133" s="36">
        <f t="shared" si="39"/>
        <v>30</v>
      </c>
    </row>
    <row r="134" spans="2:15">
      <c r="B134" s="24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6"/>
    </row>
    <row r="135" spans="2:15">
      <c r="B135" s="250" t="s">
        <v>138</v>
      </c>
      <c r="C135" s="2">
        <f>+C119+C127+C133</f>
        <v>145</v>
      </c>
      <c r="D135" s="2">
        <f t="shared" ref="D135:O135" si="40">+D119+D127+D133</f>
        <v>145</v>
      </c>
      <c r="E135" s="2">
        <f t="shared" si="40"/>
        <v>175</v>
      </c>
      <c r="F135" s="2">
        <f t="shared" si="40"/>
        <v>236.2043684577809</v>
      </c>
      <c r="G135" s="2">
        <f t="shared" si="40"/>
        <v>140</v>
      </c>
      <c r="H135" s="2">
        <f t="shared" si="40"/>
        <v>145</v>
      </c>
      <c r="I135" s="2">
        <f t="shared" si="40"/>
        <v>145</v>
      </c>
      <c r="J135" s="2">
        <f t="shared" si="40"/>
        <v>145</v>
      </c>
      <c r="K135" s="2">
        <f t="shared" si="40"/>
        <v>180</v>
      </c>
      <c r="L135" s="2">
        <f t="shared" si="40"/>
        <v>212.3273831123517</v>
      </c>
      <c r="M135" s="2">
        <f t="shared" si="40"/>
        <v>140</v>
      </c>
      <c r="N135" s="2">
        <f t="shared" si="40"/>
        <v>220</v>
      </c>
      <c r="O135" s="36">
        <f t="shared" si="40"/>
        <v>2028.5317515701327</v>
      </c>
    </row>
    <row r="136" spans="2:15">
      <c r="B136" s="250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6"/>
    </row>
    <row r="137" spans="2:15">
      <c r="B137" s="250" t="s">
        <v>355</v>
      </c>
      <c r="C137" s="2">
        <f>+C111-C135</f>
        <v>5</v>
      </c>
      <c r="D137" s="2">
        <f t="shared" ref="D137:O137" si="41">+D111-D135</f>
        <v>5</v>
      </c>
      <c r="E137" s="2">
        <f t="shared" si="41"/>
        <v>256.80799999999999</v>
      </c>
      <c r="F137" s="2">
        <f t="shared" si="41"/>
        <v>-236.2043684577809</v>
      </c>
      <c r="G137" s="2">
        <f t="shared" si="41"/>
        <v>10</v>
      </c>
      <c r="H137" s="2">
        <f t="shared" si="41"/>
        <v>5</v>
      </c>
      <c r="I137" s="2">
        <f t="shared" si="41"/>
        <v>5</v>
      </c>
      <c r="J137" s="2">
        <f t="shared" si="41"/>
        <v>5</v>
      </c>
      <c r="K137" s="2">
        <f t="shared" si="41"/>
        <v>364.96000000000004</v>
      </c>
      <c r="L137" s="2">
        <f t="shared" si="41"/>
        <v>-212.3273831123517</v>
      </c>
      <c r="M137" s="2">
        <f t="shared" si="41"/>
        <v>10</v>
      </c>
      <c r="N137" s="2">
        <f t="shared" si="41"/>
        <v>-70</v>
      </c>
      <c r="O137" s="36">
        <f t="shared" si="41"/>
        <v>148.23624842986737</v>
      </c>
    </row>
    <row r="138" spans="2:15" ht="13.5" thickBot="1">
      <c r="B138" s="251" t="s">
        <v>364</v>
      </c>
      <c r="C138" s="150">
        <f>+C137</f>
        <v>5</v>
      </c>
      <c r="D138" s="150">
        <f>+C138+D137</f>
        <v>10</v>
      </c>
      <c r="E138" s="150">
        <f>+D138+E137</f>
        <v>266.80799999999999</v>
      </c>
      <c r="F138" s="150">
        <f t="shared" ref="F138" si="42">+E138+F137</f>
        <v>30.603631542219091</v>
      </c>
      <c r="G138" s="150">
        <f t="shared" ref="G138" si="43">+F138+G137</f>
        <v>40.603631542219091</v>
      </c>
      <c r="H138" s="150">
        <f t="shared" ref="H138" si="44">+G138+H137</f>
        <v>45.603631542219091</v>
      </c>
      <c r="I138" s="150">
        <f t="shared" ref="I138" si="45">+H138+I137</f>
        <v>50.603631542219091</v>
      </c>
      <c r="J138" s="150">
        <f t="shared" ref="J138" si="46">+I138+J137</f>
        <v>55.603631542219091</v>
      </c>
      <c r="K138" s="150">
        <f t="shared" ref="K138" si="47">+J138+K137</f>
        <v>420.56363154221913</v>
      </c>
      <c r="L138" s="150">
        <f t="shared" ref="L138" si="48">+K138+L137</f>
        <v>208.23624842986743</v>
      </c>
      <c r="M138" s="150">
        <f t="shared" ref="M138" si="49">+L138+M137</f>
        <v>218.23624842986743</v>
      </c>
      <c r="N138" s="150">
        <f t="shared" ref="N138" si="50">+M138+N137</f>
        <v>148.23624842986743</v>
      </c>
      <c r="O138" s="150">
        <f t="shared" ref="O138" si="51">+N138+O137</f>
        <v>296.4724968597348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4"/>
  <dimension ref="A1:F12"/>
  <sheetViews>
    <sheetView topLeftCell="A10" workbookViewId="0">
      <selection activeCell="D66" sqref="D66"/>
    </sheetView>
  </sheetViews>
  <sheetFormatPr baseColWidth="10" defaultRowHeight="12.75"/>
  <cols>
    <col min="1" max="1" width="33.85546875" bestFit="1" customWidth="1"/>
    <col min="2" max="2" width="15.85546875" customWidth="1"/>
    <col min="3" max="3" width="16.28515625" customWidth="1"/>
    <col min="4" max="4" width="16.42578125" customWidth="1"/>
    <col min="5" max="5" width="14.85546875" customWidth="1"/>
    <col min="6" max="6" width="15.28515625" customWidth="1"/>
  </cols>
  <sheetData>
    <row r="1" spans="1:6" ht="23.25">
      <c r="A1" s="756" t="s">
        <v>304</v>
      </c>
      <c r="B1" s="756"/>
      <c r="C1" s="756"/>
      <c r="D1" s="756"/>
      <c r="E1" s="756"/>
      <c r="F1" s="756"/>
    </row>
    <row r="3" spans="1:6" ht="63.75">
      <c r="A3" s="172" t="s">
        <v>305</v>
      </c>
      <c r="B3" s="173" t="s">
        <v>306</v>
      </c>
      <c r="C3" s="173" t="s">
        <v>307</v>
      </c>
      <c r="D3" s="173" t="s">
        <v>308</v>
      </c>
      <c r="E3" s="173" t="s">
        <v>309</v>
      </c>
      <c r="F3" s="173" t="s">
        <v>310</v>
      </c>
    </row>
    <row r="4" spans="1:6">
      <c r="A4" s="174" t="s">
        <v>311</v>
      </c>
      <c r="B4" s="175">
        <f t="shared" ref="B4:B7" si="0">C4 -(C4*50%)</f>
        <v>25.25</v>
      </c>
      <c r="C4" s="174">
        <v>50.5</v>
      </c>
      <c r="D4" s="175">
        <f t="shared" ref="D4:D8" si="1">C4*28%+C4</f>
        <v>64.64</v>
      </c>
      <c r="E4" s="176">
        <f>+Tabla35[[#This Row],[PRECIO PROMEDIO QUINTALES MAYORISTA]]*20%+D4</f>
        <v>77.567999999999998</v>
      </c>
      <c r="F4" s="176">
        <f>+Tabla35[[#This Row],[PRECIO PROMEDIO QUINTALES MAYORISTA]]*10%+E4</f>
        <v>84.031999999999996</v>
      </c>
    </row>
    <row r="5" spans="1:6">
      <c r="A5" s="174" t="s">
        <v>312</v>
      </c>
      <c r="B5" s="175">
        <f t="shared" si="0"/>
        <v>21.625</v>
      </c>
      <c r="C5" s="174">
        <v>43.25</v>
      </c>
      <c r="D5" s="177">
        <f t="shared" si="1"/>
        <v>55.36</v>
      </c>
      <c r="E5" s="176">
        <f>+Tabla35[[#This Row],[PRECIO PROMEDIO QUINTALES MAYORISTA]]*20%+D5</f>
        <v>66.432000000000002</v>
      </c>
      <c r="F5" s="176">
        <f>+Tabla35[[#This Row],[PRECIO PROMEDIO QUINTALES MAYORISTA]]*10%+E5</f>
        <v>71.968000000000004</v>
      </c>
    </row>
    <row r="6" spans="1:6">
      <c r="A6" s="174" t="s">
        <v>313</v>
      </c>
      <c r="B6" s="175">
        <f t="shared" si="0"/>
        <v>16.375</v>
      </c>
      <c r="C6" s="174">
        <v>32.75</v>
      </c>
      <c r="D6" s="177">
        <f t="shared" si="1"/>
        <v>41.92</v>
      </c>
      <c r="E6" s="176">
        <f>+Tabla35[[#This Row],[PRECIO PROMEDIO QUINTALES MAYORISTA]]*20%+D6</f>
        <v>50.304000000000002</v>
      </c>
      <c r="F6" s="176">
        <f>+Tabla35[[#This Row],[PRECIO PROMEDIO QUINTALES MAYORISTA]]*10%+E6</f>
        <v>54.496000000000002</v>
      </c>
    </row>
    <row r="7" spans="1:6">
      <c r="A7" s="174" t="s">
        <v>314</v>
      </c>
      <c r="B7" s="175">
        <f t="shared" si="0"/>
        <v>46.25</v>
      </c>
      <c r="C7" s="174">
        <v>92.5</v>
      </c>
      <c r="D7" s="177">
        <f t="shared" si="1"/>
        <v>118.4</v>
      </c>
      <c r="E7" s="176">
        <f>+Tabla35[[#This Row],[PRECIO PROMEDIO QUINTALES MAYORISTA]]*20%+D7</f>
        <v>142.08000000000001</v>
      </c>
      <c r="F7" s="176">
        <f>+Tabla35[[#This Row],[PRECIO PROMEDIO QUINTALES MAYORISTA]]*10%+E7</f>
        <v>153.92000000000002</v>
      </c>
    </row>
    <row r="8" spans="1:6">
      <c r="A8" s="174" t="s">
        <v>315</v>
      </c>
      <c r="B8" s="175">
        <f>C8 -(C8*50%)</f>
        <v>10.25</v>
      </c>
      <c r="C8" s="174">
        <v>20.5</v>
      </c>
      <c r="D8" s="177">
        <f t="shared" si="1"/>
        <v>26.240000000000002</v>
      </c>
      <c r="E8" s="176">
        <f>+Tabla35[[#This Row],[PRECIO PROMEDIO QUINTALES MAYORISTA]]*20%+D8</f>
        <v>31.488000000000003</v>
      </c>
      <c r="F8" s="176">
        <f>+Tabla35[[#This Row],[PRECIO PROMEDIO QUINTALES MAYORISTA]]*10%+E8</f>
        <v>34.112000000000002</v>
      </c>
    </row>
    <row r="10" spans="1:6">
      <c r="A10" s="178" t="s">
        <v>316</v>
      </c>
    </row>
    <row r="11" spans="1:6">
      <c r="A11" s="178" t="s">
        <v>317</v>
      </c>
    </row>
    <row r="12" spans="1:6">
      <c r="A12" s="178" t="s">
        <v>87</v>
      </c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40"/>
  <dimension ref="B2:L50"/>
  <sheetViews>
    <sheetView zoomScale="90" zoomScaleNormal="90" workbookViewId="0">
      <selection activeCell="C5" sqref="C5:I19"/>
    </sheetView>
  </sheetViews>
  <sheetFormatPr baseColWidth="10" defaultRowHeight="12.75"/>
  <cols>
    <col min="1" max="1" width="1" customWidth="1"/>
    <col min="2" max="2" width="21.140625" customWidth="1"/>
    <col min="3" max="3" width="13.5703125" customWidth="1"/>
    <col min="4" max="4" width="13.7109375" customWidth="1"/>
    <col min="5" max="5" width="3.42578125" hidden="1" customWidth="1"/>
    <col min="6" max="6" width="3" hidden="1" customWidth="1"/>
    <col min="7" max="7" width="23.5703125" customWidth="1"/>
    <col min="8" max="8" width="12.5703125" bestFit="1" customWidth="1"/>
    <col min="9" max="9" width="12.140625" bestFit="1" customWidth="1"/>
  </cols>
  <sheetData>
    <row r="2" spans="2:12" ht="13.5" thickBot="1"/>
    <row r="3" spans="2:12" ht="15.75">
      <c r="B3" s="761" t="s">
        <v>689</v>
      </c>
      <c r="C3" s="759" t="s">
        <v>682</v>
      </c>
      <c r="D3" s="759" t="s">
        <v>683</v>
      </c>
      <c r="E3" s="342"/>
      <c r="F3" s="342"/>
      <c r="G3" s="761" t="s">
        <v>689</v>
      </c>
      <c r="H3" s="759" t="s">
        <v>682</v>
      </c>
      <c r="I3" s="759" t="s">
        <v>683</v>
      </c>
      <c r="J3" s="252"/>
    </row>
    <row r="4" spans="2:12" ht="16.5" thickBot="1">
      <c r="B4" s="762"/>
      <c r="C4" s="760"/>
      <c r="D4" s="760"/>
      <c r="E4" s="343"/>
      <c r="F4" s="343"/>
      <c r="G4" s="762"/>
      <c r="H4" s="760"/>
      <c r="I4" s="760"/>
      <c r="J4" s="252"/>
    </row>
    <row r="5" spans="2:12" ht="16.5" thickBot="1">
      <c r="B5" s="253" t="s">
        <v>448</v>
      </c>
      <c r="C5" s="376"/>
      <c r="D5" s="377">
        <f>+C6+C7</f>
        <v>20568.760000000002</v>
      </c>
      <c r="E5" s="378"/>
      <c r="F5" s="378"/>
      <c r="G5" s="554" t="s">
        <v>688</v>
      </c>
      <c r="H5" s="544"/>
      <c r="I5" s="545">
        <f>+H6+H7+H9</f>
        <v>17028.760000000002</v>
      </c>
      <c r="J5" s="252"/>
    </row>
    <row r="6" spans="2:12" ht="32.25" thickBot="1">
      <c r="B6" s="253" t="s">
        <v>449</v>
      </c>
      <c r="C6" s="377">
        <f>+'FLUJO FONDO COOP'!O22+'FLUJO FONDO COOP'!E21</f>
        <v>4720</v>
      </c>
      <c r="D6" s="376"/>
      <c r="E6" s="376"/>
      <c r="F6" s="376"/>
      <c r="G6" s="546" t="s">
        <v>690</v>
      </c>
      <c r="H6" s="547">
        <f>+AMORT.!C5</f>
        <v>15848.76</v>
      </c>
      <c r="I6" s="548"/>
      <c r="J6" s="252"/>
    </row>
    <row r="7" spans="2:12" ht="16.5" thickBot="1">
      <c r="B7" s="253" t="s">
        <v>130</v>
      </c>
      <c r="C7" s="377">
        <f>+AMORT.!F4</f>
        <v>15848.76</v>
      </c>
      <c r="D7" s="376"/>
      <c r="E7" s="376"/>
      <c r="F7" s="376"/>
      <c r="G7" s="549" t="s">
        <v>134</v>
      </c>
      <c r="H7" s="547">
        <f>+'FLUJO FONDO COOP'!E21</f>
        <v>1180</v>
      </c>
      <c r="I7" s="548"/>
      <c r="J7" s="252"/>
      <c r="K7">
        <v>17085.810000000001</v>
      </c>
    </row>
    <row r="8" spans="2:12" ht="16.5" hidden="1" thickBot="1">
      <c r="B8" s="253"/>
      <c r="C8" s="376"/>
      <c r="D8" s="377"/>
      <c r="E8" s="376"/>
      <c r="F8" s="376"/>
      <c r="G8" s="549"/>
      <c r="H8" s="547"/>
      <c r="I8" s="548"/>
      <c r="J8" s="252"/>
      <c r="K8">
        <f>+K7-5600.07</f>
        <v>11485.740000000002</v>
      </c>
    </row>
    <row r="9" spans="2:12" ht="16.5" hidden="1" thickBot="1">
      <c r="B9" s="253"/>
      <c r="C9" s="376"/>
      <c r="D9" s="377"/>
      <c r="E9" s="378"/>
      <c r="F9" s="378"/>
      <c r="G9" s="549"/>
      <c r="H9" s="547"/>
      <c r="I9" s="548"/>
      <c r="J9" s="252"/>
      <c r="K9" s="37">
        <v>118</v>
      </c>
    </row>
    <row r="10" spans="2:12" ht="24" hidden="1" customHeight="1" thickBot="1">
      <c r="B10" s="253" t="s">
        <v>450</v>
      </c>
      <c r="C10" s="376"/>
      <c r="D10" s="376"/>
      <c r="E10" s="379"/>
      <c r="F10" s="379"/>
      <c r="G10" s="550"/>
      <c r="H10" s="551"/>
      <c r="I10" s="552"/>
      <c r="J10" s="252"/>
      <c r="K10" s="37">
        <f>+K8+K9</f>
        <v>11603.740000000002</v>
      </c>
      <c r="L10">
        <f>4666.73+29.5+88.5</f>
        <v>4784.7299999999996</v>
      </c>
    </row>
    <row r="11" spans="2:12" ht="15.75" hidden="1" thickBot="1">
      <c r="B11" s="253" t="s">
        <v>451</v>
      </c>
      <c r="C11" s="376"/>
      <c r="D11" s="376"/>
      <c r="E11" s="380"/>
      <c r="F11" s="380"/>
      <c r="G11" s="553"/>
      <c r="H11" s="553"/>
      <c r="I11" s="235"/>
    </row>
    <row r="12" spans="2:12" ht="15.75" hidden="1" thickBot="1">
      <c r="B12" s="253" t="s">
        <v>452</v>
      </c>
      <c r="C12" s="376"/>
      <c r="D12" s="376"/>
      <c r="E12" s="376"/>
      <c r="F12" s="376"/>
      <c r="G12" s="381" t="s">
        <v>454</v>
      </c>
      <c r="H12" s="382"/>
      <c r="I12" s="348"/>
    </row>
    <row r="13" spans="2:12" ht="32.25" thickBot="1">
      <c r="B13" s="540" t="s">
        <v>684</v>
      </c>
      <c r="C13" s="384"/>
      <c r="D13" s="386">
        <f>SUM(C14:C19)</f>
        <v>23566.6110949828</v>
      </c>
      <c r="E13" s="387"/>
      <c r="F13" s="387"/>
      <c r="G13" s="556" t="s">
        <v>687</v>
      </c>
      <c r="H13" s="383"/>
      <c r="I13" s="261">
        <f>+H14+H15</f>
        <v>17631.411094982799</v>
      </c>
    </row>
    <row r="14" spans="2:12" ht="30.75" thickBot="1">
      <c r="B14" s="258" t="s">
        <v>460</v>
      </c>
      <c r="C14" s="377">
        <f>+'EQ COMPUTO'!F11</f>
        <v>415.29599999999999</v>
      </c>
      <c r="D14" s="384"/>
      <c r="E14" s="387"/>
      <c r="F14" s="387"/>
      <c r="G14" s="385" t="s">
        <v>691</v>
      </c>
      <c r="H14" s="373">
        <f>+'COSTO CAPITAL'!E5</f>
        <v>17631.411094982799</v>
      </c>
      <c r="I14" s="259"/>
    </row>
    <row r="15" spans="2:12" ht="16.5" thickBot="1">
      <c r="B15" s="258" t="s">
        <v>453</v>
      </c>
      <c r="C15" s="376">
        <f>+'EQ. OFIC'!G41</f>
        <v>288.39999999999998</v>
      </c>
      <c r="D15" s="384"/>
      <c r="E15" s="387"/>
      <c r="F15" s="387"/>
      <c r="G15" s="549"/>
      <c r="H15" s="547"/>
      <c r="I15" s="259"/>
    </row>
    <row r="16" spans="2:12" ht="15.75" thickBot="1">
      <c r="B16" s="258" t="s">
        <v>14</v>
      </c>
      <c r="C16" s="377">
        <f>+'MAQ Y EQ'!F38</f>
        <v>1075.1551999999999</v>
      </c>
      <c r="D16" s="384"/>
      <c r="E16" s="387"/>
      <c r="F16" s="387"/>
      <c r="G16" s="385"/>
      <c r="H16" s="383"/>
      <c r="I16" s="259"/>
    </row>
    <row r="17" spans="2:9" ht="16.5" thickBot="1">
      <c r="B17" s="258" t="s">
        <v>553</v>
      </c>
      <c r="C17" s="376">
        <f>+'MUEB. Y ENSER'!G11</f>
        <v>901.6</v>
      </c>
      <c r="D17" s="384"/>
      <c r="E17" s="387"/>
      <c r="F17" s="387"/>
      <c r="G17" s="555" t="s">
        <v>686</v>
      </c>
      <c r="H17" s="383"/>
      <c r="I17" s="261">
        <f>+H18+H19</f>
        <v>9475.2000000000007</v>
      </c>
    </row>
    <row r="18" spans="2:9" ht="30.75" thickBot="1">
      <c r="B18" s="258" t="s">
        <v>685</v>
      </c>
      <c r="C18" s="388">
        <f>+'PRESUPUESTO CONSTR'!F63</f>
        <v>15886.159894982799</v>
      </c>
      <c r="D18" s="384"/>
      <c r="E18" s="387"/>
      <c r="F18" s="387"/>
      <c r="G18" s="385" t="s">
        <v>550</v>
      </c>
      <c r="H18" s="373">
        <f>+'FLUJO FONDO COOP'!O22</f>
        <v>3540</v>
      </c>
      <c r="I18" s="259"/>
    </row>
    <row r="19" spans="2:9" ht="15.75" thickBot="1">
      <c r="B19" s="258" t="s">
        <v>132</v>
      </c>
      <c r="C19" s="376">
        <f>+'COSTO CAPITAL'!C5</f>
        <v>5000</v>
      </c>
      <c r="D19" s="384"/>
      <c r="E19" s="387"/>
      <c r="F19" s="387"/>
      <c r="G19" s="385" t="s">
        <v>135</v>
      </c>
      <c r="H19" s="373">
        <v>5935.2</v>
      </c>
      <c r="I19" s="259"/>
    </row>
    <row r="20" spans="2:9" ht="16.5" thickBot="1">
      <c r="B20" s="757" t="s">
        <v>133</v>
      </c>
      <c r="C20" s="758"/>
      <c r="D20" s="541">
        <f>+D5+D13</f>
        <v>44135.371094982802</v>
      </c>
      <c r="E20" s="542"/>
      <c r="F20" s="542"/>
      <c r="G20" s="757" t="s">
        <v>528</v>
      </c>
      <c r="H20" s="758"/>
      <c r="I20" s="543">
        <f>+I5+I13+I17</f>
        <v>44135.371094982795</v>
      </c>
    </row>
    <row r="22" spans="2:9">
      <c r="D22" s="37"/>
      <c r="G22" s="37"/>
    </row>
    <row r="23" spans="2:9" ht="15.75">
      <c r="B23" s="91"/>
      <c r="C23" s="255"/>
      <c r="D23" s="256"/>
      <c r="E23" s="257"/>
      <c r="F23" s="257"/>
      <c r="G23" s="37"/>
    </row>
    <row r="24" spans="2:9" ht="15">
      <c r="B24" s="256">
        <f>39532.96-932.5-5000</f>
        <v>33600.46</v>
      </c>
      <c r="C24" s="362"/>
      <c r="D24" s="364"/>
      <c r="E24" s="362"/>
      <c r="F24" s="256"/>
      <c r="G24" s="37"/>
    </row>
    <row r="25" spans="2:9" ht="15.75">
      <c r="B25" s="255"/>
      <c r="C25" s="256"/>
      <c r="D25" s="363"/>
      <c r="E25" s="256"/>
      <c r="F25" s="256"/>
    </row>
    <row r="26" spans="2:9" ht="15.75">
      <c r="B26" s="255"/>
      <c r="C26" s="255"/>
      <c r="D26" s="364"/>
      <c r="E26" s="257"/>
      <c r="F26" s="257"/>
      <c r="G26" s="37"/>
    </row>
    <row r="27" spans="2:9" ht="15.75">
      <c r="B27" s="255"/>
      <c r="C27" s="255"/>
      <c r="D27" s="256"/>
      <c r="E27" s="257"/>
      <c r="F27" s="257"/>
    </row>
    <row r="28" spans="2:9" ht="15">
      <c r="B28" s="256"/>
      <c r="C28" s="256"/>
      <c r="D28" s="256"/>
      <c r="E28" s="256" t="s">
        <v>78</v>
      </c>
      <c r="F28" s="256"/>
    </row>
    <row r="29" spans="2:9" ht="15.75">
      <c r="B29" s="255"/>
      <c r="C29" s="256"/>
      <c r="D29" s="255"/>
      <c r="E29" s="256"/>
      <c r="F29" s="256"/>
    </row>
    <row r="30" spans="2:9" ht="4.5" customHeight="1">
      <c r="B30" s="91"/>
      <c r="C30" s="91"/>
      <c r="D30" s="91"/>
      <c r="E30" s="91"/>
      <c r="F30" s="91"/>
    </row>
    <row r="32" spans="2:9">
      <c r="B32" t="s">
        <v>447</v>
      </c>
      <c r="C32" t="s">
        <v>682</v>
      </c>
      <c r="D32" t="s">
        <v>683</v>
      </c>
    </row>
    <row r="34" spans="2:4">
      <c r="B34" t="s">
        <v>448</v>
      </c>
      <c r="D34">
        <f>+C35+C36</f>
        <v>236</v>
      </c>
    </row>
    <row r="35" spans="2:4">
      <c r="B35" t="s">
        <v>449</v>
      </c>
      <c r="C35">
        <f>+'FLUJO FONDO COOP'!O52+'FLUJO FONDO COOP'!E51</f>
        <v>236</v>
      </c>
    </row>
    <row r="36" spans="2:4">
      <c r="B36" t="s">
        <v>130</v>
      </c>
      <c r="C36">
        <f>+AMORT.!F34</f>
        <v>0</v>
      </c>
    </row>
    <row r="39" spans="2:4">
      <c r="B39" t="s">
        <v>450</v>
      </c>
    </row>
    <row r="40" spans="2:4">
      <c r="B40" t="s">
        <v>451</v>
      </c>
    </row>
    <row r="41" spans="2:4">
      <c r="B41" t="s">
        <v>452</v>
      </c>
    </row>
    <row r="42" spans="2:4">
      <c r="B42" t="s">
        <v>684</v>
      </c>
      <c r="D42">
        <f>SUM(C43:C49)</f>
        <v>0</v>
      </c>
    </row>
    <row r="43" spans="2:4">
      <c r="B43" t="s">
        <v>460</v>
      </c>
      <c r="C43">
        <f>+'EQ COMPUTO'!F41</f>
        <v>0</v>
      </c>
    </row>
    <row r="44" spans="2:4">
      <c r="B44" t="s">
        <v>453</v>
      </c>
      <c r="C44">
        <f>+'EQ. OFIC'!G71</f>
        <v>0</v>
      </c>
    </row>
    <row r="45" spans="2:4">
      <c r="B45" t="s">
        <v>14</v>
      </c>
      <c r="C45">
        <f>+'MAQ Y EQ'!F68</f>
        <v>0</v>
      </c>
    </row>
    <row r="46" spans="2:4">
      <c r="B46" t="s">
        <v>553</v>
      </c>
      <c r="C46">
        <f>+'MUEB. Y ENSER'!G41</f>
        <v>0</v>
      </c>
    </row>
    <row r="47" spans="2:4">
      <c r="B47" t="s">
        <v>685</v>
      </c>
      <c r="C47">
        <f>+'PRESUPUESTO CONSTR'!F93</f>
        <v>0</v>
      </c>
    </row>
    <row r="48" spans="2:4">
      <c r="B48" t="s">
        <v>132</v>
      </c>
      <c r="C48">
        <f>+'COSTO CAPITAL'!C35</f>
        <v>0</v>
      </c>
    </row>
    <row r="50" spans="2:4">
      <c r="B50" t="s">
        <v>133</v>
      </c>
      <c r="D50">
        <f>+D34+D42</f>
        <v>236</v>
      </c>
    </row>
  </sheetData>
  <mergeCells count="8">
    <mergeCell ref="G20:H20"/>
    <mergeCell ref="B20:C20"/>
    <mergeCell ref="I3:I4"/>
    <mergeCell ref="B3:B4"/>
    <mergeCell ref="C3:C4"/>
    <mergeCell ref="D3:D4"/>
    <mergeCell ref="G3:G4"/>
    <mergeCell ref="H3:H4"/>
  </mergeCells>
  <pageMargins left="0.7" right="0.7" top="0.75" bottom="0.75" header="0.3" footer="0.3"/>
  <pageSetup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"/>
  <dimension ref="B2:I19"/>
  <sheetViews>
    <sheetView topLeftCell="A8" workbookViewId="0">
      <selection activeCell="C18" sqref="C18:F20"/>
    </sheetView>
  </sheetViews>
  <sheetFormatPr baseColWidth="10" defaultRowHeight="12.75"/>
  <cols>
    <col min="2" max="2" width="22.5703125" customWidth="1"/>
    <col min="3" max="3" width="10" customWidth="1"/>
    <col min="4" max="4" width="10.42578125" customWidth="1"/>
    <col min="5" max="5" width="13.28515625" customWidth="1"/>
    <col min="6" max="6" width="10.5703125" customWidth="1"/>
    <col min="8" max="8" width="11.5703125" bestFit="1" customWidth="1"/>
    <col min="9" max="9" width="12.140625" bestFit="1" customWidth="1"/>
  </cols>
  <sheetData>
    <row r="2" spans="2:9" ht="13.5" thickBot="1"/>
    <row r="3" spans="2:9" ht="48" customHeight="1">
      <c r="B3" s="763" t="s">
        <v>3</v>
      </c>
      <c r="C3" s="763" t="s">
        <v>4</v>
      </c>
      <c r="D3" s="763" t="s">
        <v>5</v>
      </c>
      <c r="E3" s="763" t="s">
        <v>60</v>
      </c>
      <c r="F3" s="763" t="s">
        <v>6</v>
      </c>
    </row>
    <row r="4" spans="2:9" ht="13.5" hidden="1" thickBot="1">
      <c r="B4" s="764"/>
      <c r="C4" s="764"/>
      <c r="D4" s="764"/>
      <c r="E4" s="764"/>
      <c r="F4" s="764"/>
    </row>
    <row r="5" spans="2:9" ht="13.5" thickBot="1">
      <c r="B5" s="38" t="s">
        <v>7</v>
      </c>
      <c r="C5" s="39"/>
      <c r="D5" s="40"/>
      <c r="E5" s="40"/>
      <c r="F5" s="39"/>
    </row>
    <row r="6" spans="2:9" ht="13.5" thickBot="1">
      <c r="B6" s="41" t="s">
        <v>13</v>
      </c>
      <c r="C6" s="169">
        <f>+'PRESUPUESTO CONSTR'!F63</f>
        <v>15886.159894982799</v>
      </c>
      <c r="D6" s="42">
        <v>20</v>
      </c>
      <c r="E6" s="43">
        <v>0.05</v>
      </c>
      <c r="F6" s="49">
        <f>+C6/D6</f>
        <v>794.30799474913988</v>
      </c>
      <c r="G6" s="19"/>
    </row>
    <row r="7" spans="2:9" ht="13.5" thickBot="1">
      <c r="B7" s="41" t="s">
        <v>8</v>
      </c>
      <c r="C7" s="44">
        <f>'EQ COMPUTO'!F11</f>
        <v>415.29599999999999</v>
      </c>
      <c r="D7" s="45">
        <v>3</v>
      </c>
      <c r="E7" s="46">
        <v>0.33329999999999999</v>
      </c>
      <c r="F7" s="49">
        <v>138.43</v>
      </c>
      <c r="H7" s="599">
        <f>+'E.Situación  PROYECTADO'!F12</f>
        <v>1338.4359999999999</v>
      </c>
      <c r="I7" s="599">
        <f>+H7*33.33%</f>
        <v>446.10071879999998</v>
      </c>
    </row>
    <row r="8" spans="2:9" ht="13.5" thickBot="1">
      <c r="B8" s="41" t="s">
        <v>9</v>
      </c>
      <c r="C8" s="45">
        <f>+'MUEB. Y ENSER'!G11</f>
        <v>901.6</v>
      </c>
      <c r="D8" s="45">
        <v>10</v>
      </c>
      <c r="E8" s="47">
        <v>0.1</v>
      </c>
      <c r="F8" s="42">
        <f>+C8/D8</f>
        <v>90.16</v>
      </c>
    </row>
    <row r="9" spans="2:9" ht="13.5" thickBot="1">
      <c r="B9" s="41" t="s">
        <v>14</v>
      </c>
      <c r="C9" s="48">
        <f>+'MAQ Y EQ'!F38</f>
        <v>1075.1551999999999</v>
      </c>
      <c r="D9" s="45">
        <v>5</v>
      </c>
      <c r="E9" s="47">
        <v>0.2</v>
      </c>
      <c r="F9" s="49">
        <f>+C9/D9</f>
        <v>215.03103999999999</v>
      </c>
    </row>
    <row r="10" spans="2:9" ht="13.5" thickBot="1">
      <c r="B10" s="41" t="s">
        <v>10</v>
      </c>
      <c r="C10" s="45">
        <f>+'EQ. OFIC'!G41</f>
        <v>288.39999999999998</v>
      </c>
      <c r="D10" s="45">
        <v>10</v>
      </c>
      <c r="E10" s="47">
        <v>0.1</v>
      </c>
      <c r="F10" s="42">
        <f>+C10/D10</f>
        <v>28.839999999999996</v>
      </c>
    </row>
    <row r="11" spans="2:9" ht="29.25" customHeight="1">
      <c r="B11" s="765" t="s">
        <v>11</v>
      </c>
      <c r="C11" s="769">
        <f>+C6+C7+C8+C9+C10</f>
        <v>18566.6110949828</v>
      </c>
      <c r="D11" s="767"/>
      <c r="E11" s="767"/>
      <c r="F11" s="769">
        <f>SUM(F6:F10)</f>
        <v>1266.7690347491398</v>
      </c>
    </row>
    <row r="12" spans="2:9" ht="13.5" thickBot="1">
      <c r="B12" s="766"/>
      <c r="C12" s="770"/>
      <c r="D12" s="768"/>
      <c r="E12" s="768"/>
      <c r="F12" s="770"/>
    </row>
    <row r="13" spans="2:9" ht="13.5" thickBot="1">
      <c r="B13" s="38" t="s">
        <v>12</v>
      </c>
      <c r="C13" s="42"/>
      <c r="D13" s="42"/>
      <c r="E13" s="42"/>
      <c r="F13" s="42"/>
    </row>
    <row r="14" spans="2:9" ht="0.75" customHeight="1" thickBot="1">
      <c r="B14" s="404"/>
      <c r="C14" s="403"/>
      <c r="D14" s="402"/>
      <c r="E14" s="402"/>
      <c r="F14" s="403"/>
    </row>
    <row r="19" spans="4:4">
      <c r="D19" s="28"/>
    </row>
  </sheetData>
  <mergeCells count="10">
    <mergeCell ref="C3:C4"/>
    <mergeCell ref="D3:D4"/>
    <mergeCell ref="E3:E4"/>
    <mergeCell ref="F3:F4"/>
    <mergeCell ref="B11:B12"/>
    <mergeCell ref="D11:D12"/>
    <mergeCell ref="E11:E12"/>
    <mergeCell ref="B3:B4"/>
    <mergeCell ref="C11:C12"/>
    <mergeCell ref="F11:F12"/>
  </mergeCells>
  <phoneticPr fontId="6" type="noConversion"/>
  <pageMargins left="0.75" right="0.75" top="1" bottom="1" header="0" footer="0"/>
  <pageSetup orientation="portrait" horizontalDpi="4294967294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B3:L17"/>
  <sheetViews>
    <sheetView workbookViewId="0">
      <selection activeCell="F11" sqref="F11"/>
    </sheetView>
  </sheetViews>
  <sheetFormatPr baseColWidth="10" defaultRowHeight="12.75"/>
  <cols>
    <col min="2" max="2" width="19.42578125" customWidth="1"/>
    <col min="3" max="3" width="16.5703125" bestFit="1" customWidth="1"/>
    <col min="4" max="4" width="15.140625" customWidth="1"/>
    <col min="5" max="5" width="13.28515625" bestFit="1" customWidth="1"/>
    <col min="8" max="8" width="21.5703125" bestFit="1" customWidth="1"/>
    <col min="9" max="9" width="13.5703125" bestFit="1" customWidth="1"/>
    <col min="10" max="10" width="13.28515625" bestFit="1" customWidth="1"/>
  </cols>
  <sheetData>
    <row r="3" spans="2:12" ht="15" thickBot="1">
      <c r="H3" s="263" t="s">
        <v>0</v>
      </c>
      <c r="I3" s="139" t="s">
        <v>477</v>
      </c>
      <c r="J3" s="139" t="s">
        <v>135</v>
      </c>
      <c r="K3" s="139" t="s">
        <v>478</v>
      </c>
      <c r="L3" s="139" t="s">
        <v>2</v>
      </c>
    </row>
    <row r="4" spans="2:12" ht="15" thickBot="1">
      <c r="B4" s="666" t="s">
        <v>3</v>
      </c>
      <c r="C4" s="667" t="s">
        <v>475</v>
      </c>
      <c r="D4" s="667" t="s">
        <v>465</v>
      </c>
      <c r="E4" s="667" t="s">
        <v>476</v>
      </c>
      <c r="F4" s="668" t="s">
        <v>1</v>
      </c>
      <c r="H4" s="264" t="s">
        <v>479</v>
      </c>
      <c r="I4" s="268">
        <f>+C8</f>
        <v>0.34362546886092121</v>
      </c>
      <c r="J4" s="268">
        <f>+D8</f>
        <v>3.3061578032791514E-2</v>
      </c>
      <c r="K4" s="268">
        <f>+E8</f>
        <v>0.62331295310628732</v>
      </c>
      <c r="L4" s="74">
        <f>SUM(I4:K4)</f>
        <v>1</v>
      </c>
    </row>
    <row r="5" spans="2:12" ht="15" thickBot="1">
      <c r="B5" s="357" t="s">
        <v>131</v>
      </c>
      <c r="C5" s="335">
        <v>5000</v>
      </c>
      <c r="D5" s="335">
        <v>935.2</v>
      </c>
      <c r="E5" s="336">
        <f>+D15-D7-5000</f>
        <v>17631.411094982799</v>
      </c>
      <c r="F5" s="358">
        <f>SUM(C5:E5)</f>
        <v>23566.6110949828</v>
      </c>
      <c r="H5" s="264" t="s">
        <v>480</v>
      </c>
      <c r="I5" s="74">
        <v>0.08</v>
      </c>
      <c r="J5" s="74">
        <v>0</v>
      </c>
      <c r="K5" s="74">
        <v>0.112</v>
      </c>
      <c r="L5" s="74"/>
    </row>
    <row r="6" spans="2:12" ht="34.5" thickBot="1">
      <c r="B6" s="357" t="s">
        <v>554</v>
      </c>
      <c r="C6" s="336">
        <f>+'FLUJO FONDO COOP'!E21+'FLUJO FONDO COOP'!E22</f>
        <v>4720</v>
      </c>
      <c r="D6" s="335">
        <v>0</v>
      </c>
      <c r="E6" s="335">
        <f>+'FLUJO FONDO COOP'!F17</f>
        <v>0</v>
      </c>
      <c r="F6" s="358">
        <f>SUM(C6:E6)</f>
        <v>4720</v>
      </c>
      <c r="H6" s="264" t="s">
        <v>481</v>
      </c>
      <c r="I6" s="74">
        <f>+I4*I5</f>
        <v>2.7490037508873699E-2</v>
      </c>
      <c r="J6" s="74">
        <f t="shared" ref="J6:K6" si="0">+J4*J5</f>
        <v>0</v>
      </c>
      <c r="K6" s="74">
        <f t="shared" si="0"/>
        <v>6.9811050747904183E-2</v>
      </c>
      <c r="L6" s="74">
        <f>SUM(I6:K6)</f>
        <v>9.7301088256777885E-2</v>
      </c>
    </row>
    <row r="7" spans="2:12" ht="13.5" thickBot="1">
      <c r="B7" s="357" t="s">
        <v>1</v>
      </c>
      <c r="C7" s="336">
        <f>SUM(C5:C6)</f>
        <v>9720</v>
      </c>
      <c r="D7" s="335">
        <f>SUM(D5:D6)</f>
        <v>935.2</v>
      </c>
      <c r="E7" s="336">
        <f>SUM(E5:E6)</f>
        <v>17631.411094982799</v>
      </c>
      <c r="F7" s="358">
        <f t="shared" ref="F7" si="1">SUM(C7:E7)</f>
        <v>28286.6110949828</v>
      </c>
      <c r="K7" s="254"/>
    </row>
    <row r="8" spans="2:12" ht="13.5" thickBot="1">
      <c r="B8" s="359" t="s">
        <v>395</v>
      </c>
      <c r="C8" s="360">
        <f>+C7/$F$7</f>
        <v>0.34362546886092121</v>
      </c>
      <c r="D8" s="360">
        <f>+D7/$F$7</f>
        <v>3.3061578032791514E-2</v>
      </c>
      <c r="E8" s="360">
        <f>+E7/$F$7</f>
        <v>0.62331295310628732</v>
      </c>
      <c r="F8" s="361">
        <f>SUM(C8:E8)</f>
        <v>1</v>
      </c>
    </row>
    <row r="14" spans="2:12">
      <c r="C14" s="96" t="s">
        <v>0</v>
      </c>
      <c r="D14" s="349" t="s">
        <v>527</v>
      </c>
      <c r="E14" s="96" t="s">
        <v>395</v>
      </c>
    </row>
    <row r="15" spans="2:12">
      <c r="C15" s="143" t="s">
        <v>178</v>
      </c>
      <c r="D15" s="2">
        <f>+depreciación!C11+5000</f>
        <v>23566.6110949828</v>
      </c>
      <c r="E15" s="334">
        <f>+Tabla1624[[#This Row],[VALOR EN USD]]/$D$17</f>
        <v>0.53396200168489782</v>
      </c>
    </row>
    <row r="16" spans="2:12" ht="38.25">
      <c r="C16" s="63" t="s">
        <v>526</v>
      </c>
      <c r="D16" s="2">
        <f>+AMORT.!F4+'FLUJO FONDO COOP'!E21+'FLUJO FONDO COOP'!E22</f>
        <v>20568.760000000002</v>
      </c>
      <c r="E16" s="334">
        <f>+Tabla1624[[#This Row],[VALOR EN USD]]/$D$17</f>
        <v>0.46603799831510212</v>
      </c>
    </row>
    <row r="17" spans="3:5">
      <c r="C17" s="1"/>
      <c r="D17" s="2">
        <f>SUM(D15:D16)</f>
        <v>44135.371094982802</v>
      </c>
      <c r="E17" s="333">
        <f>SUBTOTAL(109,E15:E16)</f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>
  <dimension ref="A4:B10"/>
  <sheetViews>
    <sheetView workbookViewId="0">
      <selection activeCell="D7" sqref="D7:H7"/>
    </sheetView>
  </sheetViews>
  <sheetFormatPr baseColWidth="10" defaultRowHeight="12.75"/>
  <cols>
    <col min="1" max="1" width="25.42578125" customWidth="1"/>
    <col min="2" max="2" width="19.28515625" customWidth="1"/>
  </cols>
  <sheetData>
    <row r="4" spans="1:2">
      <c r="A4" s="140"/>
    </row>
    <row r="5" spans="1:2">
      <c r="A5" s="397" t="s">
        <v>559</v>
      </c>
      <c r="B5" s="396" t="s">
        <v>560</v>
      </c>
    </row>
    <row r="6" spans="1:2">
      <c r="A6" s="400" t="s">
        <v>556</v>
      </c>
      <c r="B6" s="398">
        <v>44493.49</v>
      </c>
    </row>
    <row r="7" spans="1:2" ht="25.5">
      <c r="A7" s="400" t="s">
        <v>558</v>
      </c>
      <c r="B7" s="398">
        <v>2602.58</v>
      </c>
    </row>
    <row r="8" spans="1:2">
      <c r="A8" s="401" t="s">
        <v>557</v>
      </c>
      <c r="B8" s="399">
        <v>0.16200000000000001</v>
      </c>
    </row>
    <row r="9" spans="1:2">
      <c r="A9" s="140"/>
    </row>
    <row r="10" spans="1:2">
      <c r="A10" s="140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S157"/>
  <sheetViews>
    <sheetView zoomScale="90" zoomScaleNormal="90" workbookViewId="0">
      <selection activeCell="C3" sqref="C3"/>
    </sheetView>
  </sheetViews>
  <sheetFormatPr baseColWidth="10" defaultRowHeight="12.75"/>
  <cols>
    <col min="2" max="2" width="20.7109375" customWidth="1"/>
    <col min="3" max="3" width="8.42578125" customWidth="1"/>
    <col min="4" max="4" width="8.140625" customWidth="1"/>
    <col min="5" max="5" width="11" customWidth="1"/>
    <col min="6" max="6" width="17.5703125" customWidth="1"/>
    <col min="7" max="7" width="10.28515625" customWidth="1"/>
    <col min="8" max="8" width="11.85546875" customWidth="1"/>
    <col min="9" max="9" width="9.7109375" customWidth="1"/>
    <col min="10" max="10" width="11.85546875" customWidth="1"/>
    <col min="11" max="11" width="10.140625" customWidth="1"/>
    <col min="12" max="12" width="11.7109375" customWidth="1"/>
    <col min="13" max="13" width="12.5703125" customWidth="1"/>
    <col min="14" max="14" width="10.7109375" customWidth="1"/>
    <col min="15" max="15" width="13.42578125" customWidth="1"/>
    <col min="16" max="16" width="7" customWidth="1"/>
    <col min="17" max="17" width="27.5703125" bestFit="1" customWidth="1"/>
  </cols>
  <sheetData>
    <row r="1" spans="1:19">
      <c r="A1" s="674" t="s">
        <v>709</v>
      </c>
      <c r="B1" s="674"/>
      <c r="C1" s="674"/>
      <c r="D1" s="674"/>
      <c r="E1" s="674"/>
      <c r="F1" s="674"/>
      <c r="G1" s="674"/>
    </row>
    <row r="2" spans="1:19">
      <c r="A2" s="641" t="s">
        <v>710</v>
      </c>
      <c r="B2" s="641"/>
      <c r="C2" s="642">
        <v>236</v>
      </c>
      <c r="F2" s="645" t="s">
        <v>738</v>
      </c>
      <c r="G2" s="643">
        <v>2.0107300000000001</v>
      </c>
    </row>
    <row r="3" spans="1:19">
      <c r="A3" s="641" t="s">
        <v>732</v>
      </c>
      <c r="B3" s="641"/>
      <c r="C3" s="643">
        <f>+G3*69%</f>
        <v>327.4272732</v>
      </c>
      <c r="F3" s="645" t="s">
        <v>1</v>
      </c>
      <c r="G3" s="643">
        <f>+G2*C2</f>
        <v>474.53228000000001</v>
      </c>
    </row>
    <row r="4" spans="1:19">
      <c r="A4" s="641" t="s">
        <v>733</v>
      </c>
      <c r="B4" s="641"/>
      <c r="C4" s="643">
        <f>+G3*31%</f>
        <v>147.10500680000001</v>
      </c>
      <c r="F4" s="655"/>
      <c r="G4" s="659"/>
      <c r="H4" s="660"/>
    </row>
    <row r="5" spans="1:19">
      <c r="A5" s="641" t="s">
        <v>728</v>
      </c>
      <c r="B5" s="641"/>
      <c r="C5" s="643">
        <v>54.5</v>
      </c>
      <c r="D5" s="91"/>
      <c r="E5" s="663"/>
      <c r="F5" s="655"/>
      <c r="G5" s="659"/>
      <c r="H5" s="660"/>
    </row>
    <row r="6" spans="1:19">
      <c r="A6" s="641" t="s">
        <v>729</v>
      </c>
      <c r="B6" s="641"/>
      <c r="C6" s="650">
        <v>71.97</v>
      </c>
      <c r="D6" s="91"/>
      <c r="E6" s="663"/>
      <c r="F6" s="661"/>
      <c r="G6" s="660"/>
      <c r="H6" s="662"/>
    </row>
    <row r="7" spans="1:19">
      <c r="A7" s="641" t="s">
        <v>730</v>
      </c>
      <c r="B7" s="641"/>
      <c r="C7" s="650">
        <v>32.75</v>
      </c>
      <c r="D7" s="91"/>
      <c r="E7" s="663"/>
      <c r="F7" s="661"/>
      <c r="G7" s="660"/>
      <c r="H7" s="662"/>
    </row>
    <row r="8" spans="1:19">
      <c r="A8" s="654" t="s">
        <v>731</v>
      </c>
      <c r="B8" s="654"/>
      <c r="C8" s="650">
        <v>43.25</v>
      </c>
      <c r="D8" s="91"/>
      <c r="E8" s="53"/>
      <c r="F8" s="660"/>
      <c r="G8" s="660"/>
      <c r="H8" s="660"/>
    </row>
    <row r="9" spans="1:19" s="652" customFormat="1">
      <c r="A9" s="655"/>
      <c r="B9" s="655"/>
      <c r="C9" s="651"/>
      <c r="E9" s="653"/>
    </row>
    <row r="10" spans="1:19" ht="20.25">
      <c r="A10" s="96"/>
      <c r="B10" s="675" t="s">
        <v>737</v>
      </c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</row>
    <row r="11" spans="1:19" ht="13.5" thickBot="1">
      <c r="A11" s="96"/>
      <c r="B11" s="96"/>
      <c r="C11" s="630"/>
      <c r="E11" s="28"/>
    </row>
    <row r="12" spans="1:19" ht="13.5" thickBot="1">
      <c r="B12" s="312"/>
      <c r="C12" s="318" t="s">
        <v>371</v>
      </c>
      <c r="D12" s="318" t="s">
        <v>370</v>
      </c>
      <c r="E12" s="318" t="s">
        <v>372</v>
      </c>
      <c r="F12" s="318" t="s">
        <v>373</v>
      </c>
      <c r="G12" s="318" t="s">
        <v>374</v>
      </c>
      <c r="H12" s="318" t="s">
        <v>375</v>
      </c>
      <c r="I12" s="318" t="s">
        <v>376</v>
      </c>
      <c r="J12" s="318" t="s">
        <v>377</v>
      </c>
      <c r="K12" s="318" t="s">
        <v>378</v>
      </c>
      <c r="L12" s="318" t="s">
        <v>379</v>
      </c>
      <c r="M12" s="318" t="s">
        <v>380</v>
      </c>
      <c r="N12" s="318" t="s">
        <v>381</v>
      </c>
      <c r="O12" s="319" t="s">
        <v>1</v>
      </c>
    </row>
    <row r="13" spans="1:19" ht="39" thickBot="1">
      <c r="B13" s="320" t="s">
        <v>152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Q13" s="313" t="s">
        <v>136</v>
      </c>
      <c r="R13" s="314" t="s">
        <v>383</v>
      </c>
      <c r="S13" s="314" t="s">
        <v>176</v>
      </c>
    </row>
    <row r="14" spans="1:19" ht="13.5" thickBot="1">
      <c r="B14" s="312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Q14" s="98" t="s">
        <v>517</v>
      </c>
      <c r="R14" s="330">
        <f>+SUELDOS!B11</f>
        <v>4779.3999999999996</v>
      </c>
      <c r="S14" s="330">
        <f>+R14/12</f>
        <v>398.2833333333333</v>
      </c>
    </row>
    <row r="15" spans="1:19" ht="13.5" thickBot="1">
      <c r="B15" s="322" t="s">
        <v>137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Q15" s="98" t="s">
        <v>518</v>
      </c>
      <c r="R15" s="330">
        <v>252</v>
      </c>
      <c r="S15" s="330">
        <f t="shared" ref="S15:S18" si="0">+R15/12</f>
        <v>21</v>
      </c>
    </row>
    <row r="16" spans="1:19" ht="13.5" thickBot="1">
      <c r="B16" s="320" t="s">
        <v>393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>
        <f>SUM(C16:N16)</f>
        <v>0</v>
      </c>
      <c r="Q16" s="315" t="s">
        <v>59</v>
      </c>
      <c r="R16" s="331">
        <v>240</v>
      </c>
      <c r="S16" s="330">
        <f t="shared" si="0"/>
        <v>20</v>
      </c>
    </row>
    <row r="17" spans="2:19" ht="26.25" thickBot="1">
      <c r="B17" s="320" t="s">
        <v>734</v>
      </c>
      <c r="C17" s="321"/>
      <c r="D17" s="321"/>
      <c r="E17" s="323">
        <f>+C4*C6</f>
        <v>10587.147339396</v>
      </c>
      <c r="F17" s="321">
        <v>0</v>
      </c>
      <c r="G17" s="321"/>
      <c r="H17" s="321"/>
      <c r="I17" s="321"/>
      <c r="J17" s="321"/>
      <c r="K17" s="321">
        <f>+C3*C5</f>
        <v>17844.7863894</v>
      </c>
      <c r="L17" s="321"/>
      <c r="M17" s="321"/>
      <c r="N17" s="321"/>
      <c r="O17" s="323">
        <f>SUM(C17:N17)</f>
        <v>28431.933728796001</v>
      </c>
      <c r="Q17" s="98" t="s">
        <v>177</v>
      </c>
      <c r="R17" s="330">
        <v>240</v>
      </c>
      <c r="S17" s="330">
        <f t="shared" si="0"/>
        <v>20</v>
      </c>
    </row>
    <row r="18" spans="2:19" ht="13.5" thickBot="1">
      <c r="B18" s="656" t="s">
        <v>153</v>
      </c>
      <c r="C18" s="323">
        <f>SUM(C17:C17)</f>
        <v>0</v>
      </c>
      <c r="D18" s="323">
        <f>SUM(D17:D17)</f>
        <v>0</v>
      </c>
      <c r="E18" s="323">
        <f t="shared" ref="E18:N18" si="1">SUM(E13:E17)</f>
        <v>10587.147339396</v>
      </c>
      <c r="F18" s="323">
        <f t="shared" si="1"/>
        <v>0</v>
      </c>
      <c r="G18" s="323">
        <f t="shared" si="1"/>
        <v>0</v>
      </c>
      <c r="H18" s="323">
        <f t="shared" si="1"/>
        <v>0</v>
      </c>
      <c r="I18" s="323">
        <f t="shared" si="1"/>
        <v>0</v>
      </c>
      <c r="J18" s="323">
        <f t="shared" si="1"/>
        <v>0</v>
      </c>
      <c r="K18" s="323">
        <f t="shared" si="1"/>
        <v>17844.7863894</v>
      </c>
      <c r="L18" s="323">
        <f t="shared" si="1"/>
        <v>0</v>
      </c>
      <c r="M18" s="323">
        <f t="shared" si="1"/>
        <v>0</v>
      </c>
      <c r="N18" s="323">
        <f t="shared" si="1"/>
        <v>0</v>
      </c>
      <c r="O18" s="323">
        <f>SUM(C18:N18)</f>
        <v>28431.933728796001</v>
      </c>
      <c r="Q18" s="98" t="s">
        <v>727</v>
      </c>
      <c r="R18" s="330">
        <v>0</v>
      </c>
      <c r="S18" s="330">
        <f t="shared" si="0"/>
        <v>0</v>
      </c>
    </row>
    <row r="19" spans="2:19" ht="13.5" thickBot="1">
      <c r="B19" s="312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3">
        <f t="shared" ref="O19:O20" si="2">SUM(C19:N19)</f>
        <v>0</v>
      </c>
      <c r="Q19" s="315" t="s">
        <v>519</v>
      </c>
      <c r="R19" s="331">
        <f>SUM(R14:R17)</f>
        <v>5511.4</v>
      </c>
      <c r="S19" s="330">
        <f>+R19/12</f>
        <v>459.2833333333333</v>
      </c>
    </row>
    <row r="20" spans="2:19" ht="13.5" thickBot="1">
      <c r="B20" s="322" t="s">
        <v>154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3">
        <f t="shared" si="2"/>
        <v>0</v>
      </c>
      <c r="Q20" s="315" t="s">
        <v>521</v>
      </c>
      <c r="R20" s="331">
        <f>+R19*5%</f>
        <v>275.57</v>
      </c>
      <c r="S20" s="330">
        <f>+R20/12</f>
        <v>22.964166666666667</v>
      </c>
    </row>
    <row r="21" spans="2:19" ht="13.5" thickBot="1">
      <c r="B21" s="322" t="s">
        <v>736</v>
      </c>
      <c r="C21" s="321"/>
      <c r="D21" s="321"/>
      <c r="E21" s="658">
        <f>+$S$21</f>
        <v>482.24749999999995</v>
      </c>
      <c r="F21" s="658">
        <f t="shared" ref="F21:N21" si="3">+$S$21</f>
        <v>482.24749999999995</v>
      </c>
      <c r="G21" s="658">
        <f t="shared" si="3"/>
        <v>482.24749999999995</v>
      </c>
      <c r="H21" s="658">
        <f t="shared" si="3"/>
        <v>482.24749999999995</v>
      </c>
      <c r="I21" s="658">
        <f t="shared" si="3"/>
        <v>482.24749999999995</v>
      </c>
      <c r="J21" s="658">
        <f t="shared" si="3"/>
        <v>482.24749999999995</v>
      </c>
      <c r="K21" s="658">
        <f t="shared" si="3"/>
        <v>482.24749999999995</v>
      </c>
      <c r="L21" s="658">
        <f t="shared" si="3"/>
        <v>482.24749999999995</v>
      </c>
      <c r="M21" s="658">
        <f t="shared" si="3"/>
        <v>482.24749999999995</v>
      </c>
      <c r="N21" s="658">
        <f t="shared" si="3"/>
        <v>482.24749999999995</v>
      </c>
      <c r="O21" s="323">
        <f>SUM(E21:N21)</f>
        <v>4822.4749999999985</v>
      </c>
      <c r="Q21" s="316" t="s">
        <v>523</v>
      </c>
      <c r="R21" s="332">
        <f>+R19+R20</f>
        <v>5786.9699999999993</v>
      </c>
      <c r="S21" s="332">
        <f>+R21/12</f>
        <v>482.24749999999995</v>
      </c>
    </row>
    <row r="22" spans="2:19" ht="27" thickBot="1">
      <c r="B22" s="320" t="s">
        <v>735</v>
      </c>
      <c r="C22" s="325"/>
      <c r="D22" s="326"/>
      <c r="E22" s="325">
        <f>+C4*C8</f>
        <v>6362.2915441000005</v>
      </c>
      <c r="F22" s="326"/>
      <c r="G22" s="326"/>
      <c r="H22" s="326"/>
      <c r="I22" s="326"/>
      <c r="J22" s="326"/>
      <c r="K22" s="326">
        <f>+C3*C7</f>
        <v>10723.2431973</v>
      </c>
      <c r="L22" s="326"/>
      <c r="M22" s="326"/>
      <c r="N22" s="326"/>
      <c r="O22" s="323">
        <f>SUM(C22:N22)</f>
        <v>17085.534741399999</v>
      </c>
      <c r="Q22" s="527" t="s">
        <v>524</v>
      </c>
      <c r="R22" s="527"/>
      <c r="S22" s="97"/>
    </row>
    <row r="23" spans="2:19" ht="13.5" thickBot="1">
      <c r="B23" s="324" t="s">
        <v>444</v>
      </c>
      <c r="C23" s="329">
        <f>+C22</f>
        <v>0</v>
      </c>
      <c r="D23" s="329">
        <f>+D22</f>
        <v>0</v>
      </c>
      <c r="E23" s="329">
        <f>SUM(E21:E22)</f>
        <v>6844.5390441</v>
      </c>
      <c r="F23" s="329">
        <f t="shared" ref="F23:N23" si="4">SUM(F21:F22)</f>
        <v>482.24749999999995</v>
      </c>
      <c r="G23" s="329">
        <f t="shared" si="4"/>
        <v>482.24749999999995</v>
      </c>
      <c r="H23" s="329">
        <f t="shared" si="4"/>
        <v>482.24749999999995</v>
      </c>
      <c r="I23" s="329">
        <f t="shared" si="4"/>
        <v>482.24749999999995</v>
      </c>
      <c r="J23" s="329">
        <f t="shared" si="4"/>
        <v>482.24749999999995</v>
      </c>
      <c r="K23" s="329">
        <f t="shared" si="4"/>
        <v>11205.4906973</v>
      </c>
      <c r="L23" s="329">
        <f t="shared" si="4"/>
        <v>482.24749999999995</v>
      </c>
      <c r="M23" s="329">
        <f t="shared" si="4"/>
        <v>482.24749999999995</v>
      </c>
      <c r="N23" s="329">
        <f t="shared" si="4"/>
        <v>482.24749999999995</v>
      </c>
      <c r="O23" s="329">
        <f t="shared" ref="O23" si="5">+O22</f>
        <v>17085.534741399999</v>
      </c>
    </row>
    <row r="24" spans="2:19" ht="13.5" thickBot="1">
      <c r="B24" s="324" t="s">
        <v>445</v>
      </c>
      <c r="C24" s="329">
        <f t="shared" ref="C24:O24" si="6">+C18-C23</f>
        <v>0</v>
      </c>
      <c r="D24" s="329">
        <f t="shared" si="6"/>
        <v>0</v>
      </c>
      <c r="E24" s="329">
        <f t="shared" si="6"/>
        <v>3742.6082952960005</v>
      </c>
      <c r="F24" s="329">
        <f t="shared" si="6"/>
        <v>-482.24749999999995</v>
      </c>
      <c r="G24" s="329">
        <f t="shared" si="6"/>
        <v>-482.24749999999995</v>
      </c>
      <c r="H24" s="329">
        <f t="shared" si="6"/>
        <v>-482.24749999999995</v>
      </c>
      <c r="I24" s="329">
        <f t="shared" si="6"/>
        <v>-482.24749999999995</v>
      </c>
      <c r="J24" s="329">
        <f t="shared" si="6"/>
        <v>-482.24749999999995</v>
      </c>
      <c r="K24" s="329">
        <f t="shared" si="6"/>
        <v>6639.2956921000005</v>
      </c>
      <c r="L24" s="329">
        <f t="shared" si="6"/>
        <v>-482.24749999999995</v>
      </c>
      <c r="M24" s="329">
        <f t="shared" si="6"/>
        <v>-482.24749999999995</v>
      </c>
      <c r="N24" s="329">
        <f t="shared" si="6"/>
        <v>-482.24749999999995</v>
      </c>
      <c r="O24" s="329">
        <f t="shared" si="6"/>
        <v>11346.398987396002</v>
      </c>
    </row>
    <row r="25" spans="2:19" ht="13.5" thickBot="1">
      <c r="B25" s="324" t="s">
        <v>446</v>
      </c>
      <c r="C25" s="324">
        <v>0</v>
      </c>
      <c r="D25" s="329">
        <f>+C25+D24</f>
        <v>0</v>
      </c>
      <c r="E25" s="329">
        <f>+D25+E24</f>
        <v>3742.6082952960005</v>
      </c>
      <c r="F25" s="657">
        <f>+E25+F24</f>
        <v>3260.3607952960006</v>
      </c>
      <c r="G25" s="329">
        <f>+F25+G24</f>
        <v>2778.1132952960006</v>
      </c>
      <c r="H25" s="329">
        <f t="shared" ref="H25:M25" si="7">+G25+H24</f>
        <v>2295.8657952960007</v>
      </c>
      <c r="I25" s="329">
        <f t="shared" si="7"/>
        <v>1813.6182952960007</v>
      </c>
      <c r="J25" s="329">
        <f t="shared" si="7"/>
        <v>1331.3707952960008</v>
      </c>
      <c r="K25" s="329">
        <f t="shared" si="7"/>
        <v>7970.6664873960017</v>
      </c>
      <c r="L25" s="329">
        <f t="shared" si="7"/>
        <v>7488.4189873960022</v>
      </c>
      <c r="M25" s="329">
        <f t="shared" si="7"/>
        <v>7006.1714873960027</v>
      </c>
      <c r="N25" s="329">
        <f>+M25+N24</f>
        <v>6523.9239873960032</v>
      </c>
      <c r="O25" s="323"/>
    </row>
    <row r="26" spans="2:19"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4"/>
    </row>
    <row r="27" spans="2:19" hidden="1">
      <c r="B27" s="295"/>
      <c r="C27" s="295"/>
      <c r="D27" s="295">
        <v>3540</v>
      </c>
      <c r="E27" s="311">
        <v>0.03</v>
      </c>
      <c r="F27" s="295">
        <f>+E27/12</f>
        <v>2.5000000000000001E-3</v>
      </c>
      <c r="G27" s="295">
        <f>17631.41+15848.76</f>
        <v>33480.17</v>
      </c>
      <c r="H27" s="295"/>
      <c r="I27" s="295"/>
      <c r="J27" s="295"/>
      <c r="K27" s="295"/>
      <c r="L27" s="295"/>
      <c r="M27" s="295"/>
      <c r="N27" s="295"/>
      <c r="O27" s="293"/>
    </row>
    <row r="28" spans="2:19" hidden="1">
      <c r="D28">
        <v>3540</v>
      </c>
      <c r="E28" s="254">
        <v>0.16200000000000001</v>
      </c>
      <c r="F28" s="254">
        <f>+E28/12</f>
        <v>1.35E-2</v>
      </c>
      <c r="G28">
        <f>+G27*0.2</f>
        <v>6696.0339999999997</v>
      </c>
    </row>
    <row r="29" spans="2:19" hidden="1">
      <c r="D29" s="37" t="e">
        <f>+#REF!</f>
        <v>#REF!</v>
      </c>
    </row>
    <row r="30" spans="2:19" hidden="1"/>
    <row r="31" spans="2:19" ht="13.5" hidden="1" thickBot="1">
      <c r="B31" s="296"/>
      <c r="C31" s="297" t="s">
        <v>371</v>
      </c>
      <c r="D31" s="297" t="s">
        <v>370</v>
      </c>
      <c r="E31" s="297" t="s">
        <v>372</v>
      </c>
      <c r="F31" s="297" t="s">
        <v>373</v>
      </c>
      <c r="G31" s="297" t="s">
        <v>374</v>
      </c>
      <c r="H31" s="297" t="s">
        <v>375</v>
      </c>
      <c r="I31" s="297" t="s">
        <v>376</v>
      </c>
      <c r="J31" s="297" t="s">
        <v>377</v>
      </c>
      <c r="K31" s="297" t="s">
        <v>378</v>
      </c>
      <c r="L31" s="297" t="s">
        <v>379</v>
      </c>
      <c r="M31" s="297" t="s">
        <v>380</v>
      </c>
      <c r="N31" s="297" t="s">
        <v>381</v>
      </c>
      <c r="O31" s="298" t="s">
        <v>1</v>
      </c>
    </row>
    <row r="32" spans="2:19" ht="13.5" hidden="1" thickBot="1">
      <c r="B32" s="299" t="s">
        <v>152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2:15" ht="13.5" hidden="1" thickBot="1">
      <c r="B33" s="301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</row>
    <row r="34" spans="2:15" ht="13.5" hidden="1" thickBot="1">
      <c r="B34" s="302" t="s">
        <v>137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</row>
    <row r="35" spans="2:15" ht="13.5" hidden="1" thickBot="1">
      <c r="B35" s="303" t="s">
        <v>393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</row>
    <row r="36" spans="2:15" ht="13.5" hidden="1" thickBot="1">
      <c r="B36" s="299" t="s">
        <v>390</v>
      </c>
      <c r="C36" s="300"/>
      <c r="D36" s="300"/>
      <c r="E36" s="300"/>
      <c r="F36" s="304">
        <v>48.19</v>
      </c>
      <c r="G36" s="304">
        <v>257.70999999999998</v>
      </c>
      <c r="H36" s="304">
        <v>257.70999999999998</v>
      </c>
      <c r="I36" s="304">
        <v>257.70999999999998</v>
      </c>
      <c r="J36" s="304">
        <v>257.70999999999998</v>
      </c>
      <c r="K36" s="304">
        <v>257.70999999999998</v>
      </c>
      <c r="L36" s="304">
        <v>257.70999999999998</v>
      </c>
      <c r="M36" s="304">
        <v>257.70999999999998</v>
      </c>
      <c r="N36" s="304">
        <v>257.70999999999998</v>
      </c>
      <c r="O36" s="304">
        <v>2109.91</v>
      </c>
    </row>
    <row r="37" spans="2:15" ht="13.5" hidden="1" thickBot="1">
      <c r="B37" s="299" t="s">
        <v>392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4">
        <v>0</v>
      </c>
    </row>
    <row r="38" spans="2:15" ht="13.5" hidden="1" thickBot="1">
      <c r="B38" s="299" t="s">
        <v>391</v>
      </c>
      <c r="C38" s="300"/>
      <c r="D38" s="300"/>
      <c r="E38" s="300"/>
      <c r="F38" s="300"/>
      <c r="G38" s="300"/>
      <c r="H38" s="300"/>
      <c r="I38" s="300"/>
      <c r="J38" s="300"/>
      <c r="K38" s="304">
        <f>+D28</f>
        <v>3540</v>
      </c>
      <c r="L38" s="304" t="e">
        <f>+D29</f>
        <v>#REF!</v>
      </c>
      <c r="M38" s="300"/>
      <c r="N38" s="300"/>
      <c r="O38" s="304">
        <v>19090</v>
      </c>
    </row>
    <row r="39" spans="2:15" ht="13.5" hidden="1" thickBot="1">
      <c r="B39" s="299" t="s">
        <v>385</v>
      </c>
      <c r="C39" s="300"/>
      <c r="D39" s="304">
        <v>236</v>
      </c>
      <c r="E39" s="304">
        <v>236</v>
      </c>
      <c r="F39" s="304">
        <v>236</v>
      </c>
      <c r="G39" s="304">
        <v>236</v>
      </c>
      <c r="H39" s="304">
        <v>236</v>
      </c>
      <c r="I39" s="304">
        <v>236</v>
      </c>
      <c r="J39" s="304">
        <v>236</v>
      </c>
      <c r="K39" s="304">
        <v>236</v>
      </c>
      <c r="L39" s="304">
        <v>236</v>
      </c>
      <c r="M39" s="304">
        <v>236</v>
      </c>
      <c r="N39" s="304">
        <v>236</v>
      </c>
      <c r="O39" s="304">
        <v>2124</v>
      </c>
    </row>
    <row r="40" spans="2:15" ht="34.5" hidden="1" thickBot="1">
      <c r="B40" s="299" t="s">
        <v>386</v>
      </c>
      <c r="C40" s="300"/>
      <c r="D40" s="304">
        <v>3540</v>
      </c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4">
        <v>3540</v>
      </c>
    </row>
    <row r="41" spans="2:15" ht="13.5" hidden="1" thickBot="1">
      <c r="B41" s="299" t="s">
        <v>153</v>
      </c>
      <c r="C41" s="304">
        <v>0</v>
      </c>
      <c r="D41" s="304">
        <v>3776</v>
      </c>
      <c r="E41" s="304">
        <v>236</v>
      </c>
      <c r="F41" s="304">
        <v>284.19</v>
      </c>
      <c r="G41" s="304">
        <v>493.71</v>
      </c>
      <c r="H41" s="304">
        <v>493.71</v>
      </c>
      <c r="I41" s="304">
        <v>493.71</v>
      </c>
      <c r="J41" s="304">
        <v>493.71</v>
      </c>
      <c r="K41" s="304">
        <v>4063.71</v>
      </c>
      <c r="L41" s="304">
        <v>16013.71</v>
      </c>
      <c r="M41" s="304">
        <v>493.71</v>
      </c>
      <c r="N41" s="304">
        <v>493.71</v>
      </c>
      <c r="O41" s="304">
        <v>27335.87</v>
      </c>
    </row>
    <row r="42" spans="2:15" ht="13.5" hidden="1" thickBot="1">
      <c r="B42" s="301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4">
        <v>0</v>
      </c>
    </row>
    <row r="43" spans="2:15" ht="13.5" hidden="1" thickBot="1">
      <c r="B43" s="302" t="s">
        <v>154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4">
        <v>0</v>
      </c>
    </row>
    <row r="44" spans="2:15" ht="13.5" hidden="1" thickBot="1">
      <c r="B44" s="299" t="s">
        <v>388</v>
      </c>
      <c r="C44" s="306"/>
      <c r="D44" s="306"/>
      <c r="E44" s="307">
        <v>3570</v>
      </c>
      <c r="F44" s="307">
        <v>15520</v>
      </c>
      <c r="G44" s="306"/>
      <c r="H44" s="306"/>
      <c r="I44" s="306"/>
      <c r="J44" s="306"/>
      <c r="K44" s="307">
        <v>3570</v>
      </c>
      <c r="L44" s="307" t="e">
        <f>+D29</f>
        <v>#REF!</v>
      </c>
      <c r="M44" s="306"/>
      <c r="N44" s="306"/>
      <c r="O44" s="304">
        <v>34610</v>
      </c>
    </row>
    <row r="45" spans="2:15" ht="13.5" hidden="1" thickBot="1">
      <c r="B45" s="299" t="s">
        <v>387</v>
      </c>
      <c r="C45" s="306"/>
      <c r="D45" s="306"/>
      <c r="E45" s="306"/>
      <c r="F45" s="300"/>
      <c r="G45" s="300"/>
      <c r="H45" s="300"/>
      <c r="I45" s="306"/>
      <c r="J45" s="306"/>
      <c r="K45" s="306"/>
      <c r="L45" s="306"/>
      <c r="M45" s="306"/>
      <c r="N45" s="306"/>
      <c r="O45" s="304">
        <v>0</v>
      </c>
    </row>
    <row r="46" spans="2:15" ht="13.5" hidden="1" thickBot="1">
      <c r="B46" s="299" t="s">
        <v>389</v>
      </c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4">
        <v>0</v>
      </c>
    </row>
    <row r="47" spans="2:15" ht="34.5" hidden="1" thickBot="1">
      <c r="B47" s="308" t="s">
        <v>504</v>
      </c>
      <c r="C47" s="306"/>
      <c r="D47" s="306"/>
      <c r="E47" s="307">
        <v>15.73</v>
      </c>
      <c r="F47" s="307">
        <v>16.72</v>
      </c>
      <c r="G47" s="307">
        <v>17.7</v>
      </c>
      <c r="H47" s="307">
        <v>18.68</v>
      </c>
      <c r="I47" s="307">
        <v>19.670000000000002</v>
      </c>
      <c r="J47" s="307">
        <v>20.65</v>
      </c>
      <c r="K47" s="307">
        <v>21.63</v>
      </c>
      <c r="L47" s="307">
        <v>22.62</v>
      </c>
      <c r="M47" s="307">
        <v>23.6</v>
      </c>
      <c r="N47" s="307">
        <v>24.58</v>
      </c>
      <c r="O47" s="304">
        <v>201.58</v>
      </c>
    </row>
    <row r="48" spans="2:15" ht="13.5" hidden="1" thickBot="1">
      <c r="B48" s="301"/>
      <c r="C48" s="306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4">
        <v>0</v>
      </c>
    </row>
    <row r="49" spans="2:15" ht="13.5" hidden="1" thickBot="1">
      <c r="B49" s="309" t="s">
        <v>444</v>
      </c>
      <c r="C49" s="310">
        <v>0</v>
      </c>
      <c r="D49" s="310">
        <v>0</v>
      </c>
      <c r="E49" s="310">
        <f>SUM(E43:E47)</f>
        <v>3585.73</v>
      </c>
      <c r="F49" s="310">
        <f t="shared" ref="F49:N49" si="8">SUM(F43:F47)</f>
        <v>15536.72</v>
      </c>
      <c r="G49" s="310">
        <f t="shared" si="8"/>
        <v>17.7</v>
      </c>
      <c r="H49" s="310">
        <f t="shared" si="8"/>
        <v>18.68</v>
      </c>
      <c r="I49" s="310">
        <f t="shared" si="8"/>
        <v>19.670000000000002</v>
      </c>
      <c r="J49" s="310">
        <f t="shared" si="8"/>
        <v>20.65</v>
      </c>
      <c r="K49" s="310">
        <f t="shared" si="8"/>
        <v>3591.63</v>
      </c>
      <c r="L49" s="310" t="e">
        <f t="shared" si="8"/>
        <v>#REF!</v>
      </c>
      <c r="M49" s="310">
        <f t="shared" si="8"/>
        <v>23.6</v>
      </c>
      <c r="N49" s="310">
        <f t="shared" si="8"/>
        <v>24.58</v>
      </c>
      <c r="O49" s="304">
        <v>38381.58</v>
      </c>
    </row>
    <row r="50" spans="2:15" ht="13.5" hidden="1" thickBot="1">
      <c r="B50" s="309" t="s">
        <v>445</v>
      </c>
      <c r="C50" s="310">
        <v>0</v>
      </c>
      <c r="D50" s="310">
        <v>3776</v>
      </c>
      <c r="E50" s="310">
        <v>-3349.73</v>
      </c>
      <c r="F50" s="310">
        <v>-15252.53</v>
      </c>
      <c r="G50" s="310">
        <v>476.01</v>
      </c>
      <c r="H50" s="310">
        <v>475.03</v>
      </c>
      <c r="I50" s="310">
        <v>474.04</v>
      </c>
      <c r="J50" s="310">
        <v>473.06</v>
      </c>
      <c r="K50" s="310">
        <v>472.08</v>
      </c>
      <c r="L50" s="310">
        <v>471.09</v>
      </c>
      <c r="M50" s="310">
        <v>470.11</v>
      </c>
      <c r="N50" s="310">
        <v>469.13</v>
      </c>
      <c r="O50" s="304">
        <v>-11045.71</v>
      </c>
    </row>
    <row r="51" spans="2:15" ht="13.5" hidden="1" thickBot="1">
      <c r="B51" s="309" t="s">
        <v>446</v>
      </c>
      <c r="C51" s="310">
        <v>0</v>
      </c>
      <c r="D51" s="310">
        <v>3776</v>
      </c>
      <c r="E51" s="310">
        <v>426.27</v>
      </c>
      <c r="F51" s="310">
        <v>-14826.26</v>
      </c>
      <c r="G51" s="310">
        <v>-14350.25</v>
      </c>
      <c r="H51" s="310">
        <v>-13875.22</v>
      </c>
      <c r="I51" s="310">
        <v>-13401.18</v>
      </c>
      <c r="J51" s="310">
        <v>-12928.12</v>
      </c>
      <c r="K51" s="310">
        <v>-12456.04</v>
      </c>
      <c r="L51" s="310">
        <v>-11984.95</v>
      </c>
      <c r="M51" s="310">
        <v>-11514.84</v>
      </c>
      <c r="N51" s="310">
        <v>-11045.71</v>
      </c>
      <c r="O51" s="304">
        <v>-112180.3</v>
      </c>
    </row>
    <row r="52" spans="2:15" hidden="1"/>
    <row r="53" spans="2:15" hidden="1"/>
    <row r="54" spans="2:15" hidden="1"/>
    <row r="55" spans="2:15" hidden="1">
      <c r="B55" s="244" t="s">
        <v>441</v>
      </c>
      <c r="C55" s="245" t="s">
        <v>371</v>
      </c>
      <c r="D55" s="245" t="s">
        <v>370</v>
      </c>
      <c r="E55" s="245" t="s">
        <v>372</v>
      </c>
      <c r="F55" s="245" t="s">
        <v>373</v>
      </c>
      <c r="G55" s="245" t="s">
        <v>374</v>
      </c>
      <c r="H55" s="245" t="s">
        <v>375</v>
      </c>
      <c r="I55" s="245" t="s">
        <v>376</v>
      </c>
      <c r="J55" s="245" t="s">
        <v>377</v>
      </c>
      <c r="K55" s="245" t="s">
        <v>378</v>
      </c>
      <c r="L55" s="245" t="s">
        <v>379</v>
      </c>
      <c r="M55" s="245" t="s">
        <v>380</v>
      </c>
      <c r="N55" s="245" t="s">
        <v>381</v>
      </c>
      <c r="O55" s="246" t="s">
        <v>2</v>
      </c>
    </row>
    <row r="56" spans="2:15" hidden="1">
      <c r="B56" s="247" t="s">
        <v>137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6"/>
    </row>
    <row r="57" spans="2:15" hidden="1">
      <c r="B57" s="248" t="s">
        <v>294</v>
      </c>
      <c r="C57" s="2">
        <v>0</v>
      </c>
      <c r="D57" s="2">
        <v>0</v>
      </c>
      <c r="E57" s="2">
        <f>6*55.36</f>
        <v>332.15999999999997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f>10*41.92</f>
        <v>419.20000000000005</v>
      </c>
      <c r="L57" s="2">
        <v>0</v>
      </c>
      <c r="M57" s="2">
        <v>0</v>
      </c>
      <c r="N57" s="2">
        <v>0</v>
      </c>
      <c r="O57" s="36">
        <v>773.38225551290998</v>
      </c>
    </row>
    <row r="58" spans="2:15" hidden="1">
      <c r="B58" s="248" t="s">
        <v>368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36">
        <f>SUM(C58:N58)</f>
        <v>0</v>
      </c>
    </row>
    <row r="59" spans="2:15" hidden="1">
      <c r="B59" s="248" t="s">
        <v>153</v>
      </c>
      <c r="C59" s="2">
        <f>SUM(C57:C58)</f>
        <v>0</v>
      </c>
      <c r="D59" s="2">
        <f t="shared" ref="D59:O59" si="9">SUM(D57:D58)</f>
        <v>0</v>
      </c>
      <c r="E59" s="2">
        <f t="shared" si="9"/>
        <v>332.15999999999997</v>
      </c>
      <c r="F59" s="2">
        <f t="shared" si="9"/>
        <v>0</v>
      </c>
      <c r="G59" s="2">
        <f t="shared" si="9"/>
        <v>0</v>
      </c>
      <c r="H59" s="2">
        <f t="shared" si="9"/>
        <v>0</v>
      </c>
      <c r="I59" s="2">
        <f t="shared" si="9"/>
        <v>0</v>
      </c>
      <c r="J59" s="2">
        <f t="shared" si="9"/>
        <v>0</v>
      </c>
      <c r="K59" s="2">
        <f t="shared" si="9"/>
        <v>419.20000000000005</v>
      </c>
      <c r="L59" s="2">
        <f t="shared" si="9"/>
        <v>0</v>
      </c>
      <c r="M59" s="2">
        <f t="shared" si="9"/>
        <v>0</v>
      </c>
      <c r="N59" s="2">
        <f t="shared" si="9"/>
        <v>0</v>
      </c>
      <c r="O59" s="36">
        <f t="shared" si="9"/>
        <v>773.38225551290998</v>
      </c>
    </row>
    <row r="60" spans="2:15" hidden="1">
      <c r="B60" s="24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6"/>
    </row>
    <row r="61" spans="2:15" hidden="1">
      <c r="B61" s="248" t="s">
        <v>154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6"/>
    </row>
    <row r="62" spans="2:15" hidden="1">
      <c r="B62" s="248" t="s">
        <v>295</v>
      </c>
      <c r="C62" s="2">
        <v>50</v>
      </c>
      <c r="D62" s="2">
        <v>50</v>
      </c>
      <c r="E62" s="2">
        <v>50</v>
      </c>
      <c r="F62" s="2">
        <v>50</v>
      </c>
      <c r="G62" s="2">
        <v>50</v>
      </c>
      <c r="H62" s="2">
        <v>50</v>
      </c>
      <c r="I62" s="2">
        <v>50</v>
      </c>
      <c r="J62" s="2">
        <v>50</v>
      </c>
      <c r="K62" s="2">
        <v>50</v>
      </c>
      <c r="L62" s="2">
        <v>50</v>
      </c>
      <c r="M62" s="2">
        <v>50</v>
      </c>
      <c r="N62" s="2">
        <v>85</v>
      </c>
      <c r="O62" s="36">
        <v>635</v>
      </c>
    </row>
    <row r="63" spans="2:15" hidden="1">
      <c r="B63" s="248" t="s">
        <v>296</v>
      </c>
      <c r="C63" s="2">
        <v>10</v>
      </c>
      <c r="D63" s="2">
        <v>10</v>
      </c>
      <c r="E63" s="2">
        <v>10</v>
      </c>
      <c r="F63" s="2">
        <v>10</v>
      </c>
      <c r="G63" s="2">
        <v>10</v>
      </c>
      <c r="H63" s="2">
        <v>10</v>
      </c>
      <c r="I63" s="2">
        <v>10</v>
      </c>
      <c r="J63" s="2">
        <v>10</v>
      </c>
      <c r="K63" s="2">
        <v>40</v>
      </c>
      <c r="L63" s="2">
        <v>10</v>
      </c>
      <c r="M63" s="2">
        <v>10</v>
      </c>
      <c r="N63" s="2">
        <v>10</v>
      </c>
      <c r="O63" s="36">
        <v>150</v>
      </c>
    </row>
    <row r="64" spans="2:15" hidden="1">
      <c r="B64" s="248" t="s">
        <v>297</v>
      </c>
      <c r="C64" s="2">
        <v>5</v>
      </c>
      <c r="D64" s="2">
        <v>5</v>
      </c>
      <c r="E64" s="2">
        <v>20</v>
      </c>
      <c r="F64" s="2">
        <v>5</v>
      </c>
      <c r="G64" s="2">
        <v>5</v>
      </c>
      <c r="H64" s="2">
        <v>5</v>
      </c>
      <c r="I64" s="2">
        <v>5</v>
      </c>
      <c r="J64" s="2">
        <v>5</v>
      </c>
      <c r="K64" s="2">
        <v>5</v>
      </c>
      <c r="L64" s="2">
        <v>5</v>
      </c>
      <c r="M64" s="2">
        <v>5</v>
      </c>
      <c r="N64" s="2">
        <v>25</v>
      </c>
      <c r="O64" s="36">
        <v>95</v>
      </c>
    </row>
    <row r="65" spans="2:15" hidden="1">
      <c r="B65" s="248" t="s">
        <v>298</v>
      </c>
      <c r="C65" s="2">
        <v>5</v>
      </c>
      <c r="D65" s="2">
        <v>5</v>
      </c>
      <c r="E65" s="2">
        <v>5</v>
      </c>
      <c r="F65" s="2">
        <v>5</v>
      </c>
      <c r="G65" s="2">
        <v>5</v>
      </c>
      <c r="H65" s="2">
        <v>5</v>
      </c>
      <c r="I65" s="2">
        <v>5</v>
      </c>
      <c r="J65" s="2">
        <v>5</v>
      </c>
      <c r="K65" s="2">
        <v>5</v>
      </c>
      <c r="L65" s="2">
        <v>5</v>
      </c>
      <c r="M65" s="2">
        <v>5</v>
      </c>
      <c r="N65" s="2">
        <v>5</v>
      </c>
      <c r="O65" s="36">
        <v>60</v>
      </c>
    </row>
    <row r="66" spans="2:15" hidden="1">
      <c r="B66" s="248" t="s">
        <v>58</v>
      </c>
      <c r="C66" s="2">
        <v>15</v>
      </c>
      <c r="D66" s="2">
        <v>15</v>
      </c>
      <c r="E66" s="2">
        <v>15</v>
      </c>
      <c r="F66" s="2">
        <v>15</v>
      </c>
      <c r="G66" s="2">
        <v>10</v>
      </c>
      <c r="H66" s="2">
        <v>15</v>
      </c>
      <c r="I66" s="2">
        <v>15</v>
      </c>
      <c r="J66" s="2">
        <v>15</v>
      </c>
      <c r="K66" s="2">
        <v>15</v>
      </c>
      <c r="L66" s="2">
        <v>15</v>
      </c>
      <c r="M66" s="2">
        <v>10</v>
      </c>
      <c r="N66" s="2">
        <v>20</v>
      </c>
      <c r="O66" s="36">
        <v>175</v>
      </c>
    </row>
    <row r="67" spans="2:15" hidden="1">
      <c r="B67" s="248" t="s">
        <v>352</v>
      </c>
      <c r="C67" s="2">
        <v>85</v>
      </c>
      <c r="D67" s="2">
        <v>85</v>
      </c>
      <c r="E67" s="2">
        <v>100</v>
      </c>
      <c r="F67" s="2">
        <v>85</v>
      </c>
      <c r="G67" s="2">
        <v>80</v>
      </c>
      <c r="H67" s="2">
        <v>85</v>
      </c>
      <c r="I67" s="2">
        <v>85</v>
      </c>
      <c r="J67" s="2">
        <v>85</v>
      </c>
      <c r="K67" s="2">
        <v>115</v>
      </c>
      <c r="L67" s="2">
        <v>85</v>
      </c>
      <c r="M67" s="2">
        <v>80</v>
      </c>
      <c r="N67" s="2">
        <v>145</v>
      </c>
      <c r="O67" s="36">
        <v>1115</v>
      </c>
    </row>
    <row r="68" spans="2:15" hidden="1">
      <c r="B68" s="24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6"/>
    </row>
    <row r="69" spans="2:15" hidden="1">
      <c r="B69" s="249" t="s">
        <v>438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6">
        <v>0</v>
      </c>
    </row>
    <row r="70" spans="2:15" hidden="1">
      <c r="B70" s="248" t="s">
        <v>356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36">
        <v>0</v>
      </c>
    </row>
    <row r="71" spans="2:15" hidden="1">
      <c r="B71" s="248" t="s">
        <v>329</v>
      </c>
      <c r="C71" s="2">
        <v>0</v>
      </c>
      <c r="D71" s="2">
        <v>0</v>
      </c>
      <c r="E71" s="2">
        <v>0</v>
      </c>
      <c r="F71" s="2">
        <v>14.862205163991627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9.5020655966503842</v>
      </c>
      <c r="M71" s="2">
        <v>0</v>
      </c>
      <c r="N71" s="2">
        <v>0</v>
      </c>
      <c r="O71" s="36">
        <v>24.364270760642011</v>
      </c>
    </row>
    <row r="72" spans="2:15" hidden="1">
      <c r="B72" s="248" t="s">
        <v>330</v>
      </c>
      <c r="C72" s="2">
        <v>0</v>
      </c>
      <c r="D72" s="2">
        <v>0</v>
      </c>
      <c r="E72" s="2">
        <v>0</v>
      </c>
      <c r="F72" s="2">
        <v>33.957886950453599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21.710780181437542</v>
      </c>
      <c r="M72" s="2">
        <v>0</v>
      </c>
      <c r="N72" s="2">
        <v>0</v>
      </c>
      <c r="O72" s="36">
        <v>55.668667131891141</v>
      </c>
    </row>
    <row r="73" spans="2:15" hidden="1">
      <c r="B73" s="248" t="s">
        <v>357</v>
      </c>
      <c r="C73" s="2">
        <v>0</v>
      </c>
      <c r="D73" s="2">
        <v>0</v>
      </c>
      <c r="E73" s="2">
        <v>0</v>
      </c>
      <c r="F73" s="2">
        <v>17.38427634333566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11.114537334263783</v>
      </c>
      <c r="M73" s="2">
        <v>0</v>
      </c>
      <c r="N73" s="2">
        <v>0</v>
      </c>
      <c r="O73" s="36">
        <v>28.498813677599443</v>
      </c>
    </row>
    <row r="74" spans="2:15" hidden="1">
      <c r="B74" s="248" t="s">
        <v>365</v>
      </c>
      <c r="C74" s="2">
        <v>0</v>
      </c>
      <c r="D74" s="2">
        <v>0</v>
      </c>
      <c r="E74" s="2">
        <v>0</v>
      </c>
      <c r="F74" s="2">
        <v>25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25</v>
      </c>
      <c r="M74" s="2">
        <v>0</v>
      </c>
      <c r="N74" s="2">
        <v>0</v>
      </c>
      <c r="O74" s="36">
        <v>50</v>
      </c>
    </row>
    <row r="75" spans="2:15" hidden="1">
      <c r="B75" s="248" t="s">
        <v>361</v>
      </c>
      <c r="C75" s="2">
        <f>SUM(C70:C73)</f>
        <v>0</v>
      </c>
      <c r="D75" s="2">
        <f t="shared" ref="D75:N75" si="10">SUM(D70:D73)</f>
        <v>0</v>
      </c>
      <c r="E75" s="2">
        <f t="shared" si="10"/>
        <v>0</v>
      </c>
      <c r="F75" s="2">
        <f>SUM(F70:F74)</f>
        <v>91.204368457780888</v>
      </c>
      <c r="G75" s="2">
        <f t="shared" si="10"/>
        <v>0</v>
      </c>
      <c r="H75" s="2">
        <f t="shared" si="10"/>
        <v>0</v>
      </c>
      <c r="I75" s="2">
        <f t="shared" si="10"/>
        <v>0</v>
      </c>
      <c r="J75" s="2">
        <f t="shared" si="10"/>
        <v>0</v>
      </c>
      <c r="K75" s="2">
        <f t="shared" si="10"/>
        <v>0</v>
      </c>
      <c r="L75" s="2">
        <f>SUM(L70:L74)</f>
        <v>67.327383112351711</v>
      </c>
      <c r="M75" s="2">
        <f t="shared" si="10"/>
        <v>0</v>
      </c>
      <c r="N75" s="2">
        <f t="shared" si="10"/>
        <v>0</v>
      </c>
      <c r="O75" s="36">
        <f>SUM(O71:O74)</f>
        <v>158.5317515701326</v>
      </c>
    </row>
    <row r="76" spans="2:15" hidden="1">
      <c r="B76" s="24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6"/>
    </row>
    <row r="77" spans="2:15" hidden="1">
      <c r="B77" s="249" t="s">
        <v>439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6">
        <v>0</v>
      </c>
    </row>
    <row r="78" spans="2:15" hidden="1">
      <c r="B78" s="248" t="s">
        <v>356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36">
        <v>0</v>
      </c>
    </row>
    <row r="79" spans="2:15" hidden="1">
      <c r="B79" s="248" t="s">
        <v>360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36">
        <v>0</v>
      </c>
    </row>
    <row r="80" spans="2:15" hidden="1">
      <c r="B80" s="248" t="s">
        <v>369</v>
      </c>
      <c r="C80" s="2">
        <v>0</v>
      </c>
      <c r="D80" s="2">
        <v>0</v>
      </c>
      <c r="E80" s="2">
        <v>15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15</v>
      </c>
      <c r="L80" s="2">
        <v>0</v>
      </c>
      <c r="M80" s="2">
        <v>0</v>
      </c>
      <c r="N80" s="2">
        <v>0</v>
      </c>
      <c r="O80" s="36">
        <v>30</v>
      </c>
    </row>
    <row r="81" spans="2:15" hidden="1">
      <c r="B81" s="248" t="s">
        <v>362</v>
      </c>
      <c r="C81" s="2">
        <f>SUM(C78:C80)</f>
        <v>0</v>
      </c>
      <c r="D81" s="2">
        <f t="shared" ref="D81:O81" si="11">SUM(D78:D80)</f>
        <v>0</v>
      </c>
      <c r="E81" s="2">
        <f t="shared" si="11"/>
        <v>15</v>
      </c>
      <c r="F81" s="2">
        <f t="shared" si="11"/>
        <v>0</v>
      </c>
      <c r="G81" s="2">
        <f t="shared" si="11"/>
        <v>0</v>
      </c>
      <c r="H81" s="2">
        <f t="shared" si="11"/>
        <v>0</v>
      </c>
      <c r="I81" s="2">
        <f t="shared" si="11"/>
        <v>0</v>
      </c>
      <c r="J81" s="2">
        <f t="shared" si="11"/>
        <v>0</v>
      </c>
      <c r="K81" s="2">
        <f t="shared" si="11"/>
        <v>15</v>
      </c>
      <c r="L81" s="2">
        <f t="shared" si="11"/>
        <v>0</v>
      </c>
      <c r="M81" s="2">
        <f t="shared" si="11"/>
        <v>0</v>
      </c>
      <c r="N81" s="2">
        <f t="shared" si="11"/>
        <v>0</v>
      </c>
      <c r="O81" s="36">
        <f t="shared" si="11"/>
        <v>30</v>
      </c>
    </row>
    <row r="82" spans="2:15" hidden="1">
      <c r="B82" s="24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6"/>
    </row>
    <row r="83" spans="2:15" hidden="1">
      <c r="B83" s="250" t="s">
        <v>138</v>
      </c>
      <c r="C83" s="2">
        <f>+C67+C75+C81</f>
        <v>85</v>
      </c>
      <c r="D83" s="2">
        <f t="shared" ref="D83:O83" si="12">+D67+D75+D81</f>
        <v>85</v>
      </c>
      <c r="E83" s="2">
        <f t="shared" si="12"/>
        <v>115</v>
      </c>
      <c r="F83" s="2">
        <f t="shared" si="12"/>
        <v>176.2043684577809</v>
      </c>
      <c r="G83" s="2">
        <f t="shared" si="12"/>
        <v>80</v>
      </c>
      <c r="H83" s="2">
        <f t="shared" si="12"/>
        <v>85</v>
      </c>
      <c r="I83" s="2">
        <f t="shared" si="12"/>
        <v>85</v>
      </c>
      <c r="J83" s="2">
        <f t="shared" si="12"/>
        <v>85</v>
      </c>
      <c r="K83" s="2">
        <f t="shared" si="12"/>
        <v>130</v>
      </c>
      <c r="L83" s="2">
        <f t="shared" si="12"/>
        <v>152.3273831123517</v>
      </c>
      <c r="M83" s="2">
        <f t="shared" si="12"/>
        <v>80</v>
      </c>
      <c r="N83" s="2">
        <f t="shared" si="12"/>
        <v>145</v>
      </c>
      <c r="O83" s="36">
        <f t="shared" si="12"/>
        <v>1303.5317515701327</v>
      </c>
    </row>
    <row r="84" spans="2:15" hidden="1">
      <c r="B84" s="25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6"/>
    </row>
    <row r="85" spans="2:15" hidden="1">
      <c r="B85" s="250" t="s">
        <v>355</v>
      </c>
      <c r="C85" s="2">
        <f>+C59-C83</f>
        <v>-85</v>
      </c>
      <c r="D85" s="2">
        <f t="shared" ref="D85:O85" si="13">+D59-D83</f>
        <v>-85</v>
      </c>
      <c r="E85" s="2">
        <f t="shared" si="13"/>
        <v>217.15999999999997</v>
      </c>
      <c r="F85" s="2">
        <f t="shared" si="13"/>
        <v>-176.2043684577809</v>
      </c>
      <c r="G85" s="2">
        <f t="shared" si="13"/>
        <v>-80</v>
      </c>
      <c r="H85" s="2">
        <f t="shared" si="13"/>
        <v>-85</v>
      </c>
      <c r="I85" s="2">
        <f t="shared" si="13"/>
        <v>-85</v>
      </c>
      <c r="J85" s="2">
        <f t="shared" si="13"/>
        <v>-85</v>
      </c>
      <c r="K85" s="2">
        <f t="shared" si="13"/>
        <v>289.20000000000005</v>
      </c>
      <c r="L85" s="2">
        <f t="shared" si="13"/>
        <v>-152.3273831123517</v>
      </c>
      <c r="M85" s="2">
        <f t="shared" si="13"/>
        <v>-80</v>
      </c>
      <c r="N85" s="2">
        <f t="shared" si="13"/>
        <v>-145</v>
      </c>
      <c r="O85" s="36">
        <f t="shared" si="13"/>
        <v>-530.14949605722268</v>
      </c>
    </row>
    <row r="86" spans="2:15" ht="13.5" hidden="1" thickBot="1">
      <c r="B86" s="251" t="s">
        <v>364</v>
      </c>
      <c r="C86" s="150">
        <f>+C85</f>
        <v>-85</v>
      </c>
      <c r="D86" s="150">
        <f>+C86+D85</f>
        <v>-170</v>
      </c>
      <c r="E86" s="150">
        <f>+D86+E85</f>
        <v>47.159999999999968</v>
      </c>
      <c r="F86" s="150">
        <f t="shared" ref="F86:O86" si="14">+E86+F85</f>
        <v>-129.04436845778093</v>
      </c>
      <c r="G86" s="150">
        <f t="shared" si="14"/>
        <v>-209.04436845778093</v>
      </c>
      <c r="H86" s="150">
        <f t="shared" si="14"/>
        <v>-294.04436845778093</v>
      </c>
      <c r="I86" s="150">
        <f t="shared" si="14"/>
        <v>-379.04436845778093</v>
      </c>
      <c r="J86" s="150">
        <f t="shared" si="14"/>
        <v>-464.04436845778093</v>
      </c>
      <c r="K86" s="150">
        <f t="shared" si="14"/>
        <v>-174.84436845778089</v>
      </c>
      <c r="L86" s="150">
        <f t="shared" si="14"/>
        <v>-327.17175157013259</v>
      </c>
      <c r="M86" s="150">
        <f t="shared" si="14"/>
        <v>-407.17175157013259</v>
      </c>
      <c r="N86" s="150">
        <f t="shared" si="14"/>
        <v>-552.17175157013253</v>
      </c>
      <c r="O86" s="150">
        <f t="shared" si="14"/>
        <v>-1082.3212476273552</v>
      </c>
    </row>
    <row r="87" spans="2:15" hidden="1"/>
    <row r="88" spans="2:15" hidden="1"/>
    <row r="89" spans="2:15" hidden="1"/>
    <row r="90" spans="2:15" hidden="1"/>
    <row r="91" spans="2:15" hidden="1"/>
    <row r="92" spans="2:15" hidden="1"/>
    <row r="93" spans="2:15" hidden="1"/>
    <row r="94" spans="2:15" hidden="1"/>
    <row r="95" spans="2:15" hidden="1"/>
    <row r="96" spans="2:1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spans="2:6" hidden="1"/>
    <row r="146" spans="2:6" hidden="1"/>
    <row r="147" spans="2:6" hidden="1"/>
    <row r="148" spans="2:6" hidden="1"/>
    <row r="149" spans="2:6" hidden="1"/>
    <row r="150" spans="2:6" hidden="1"/>
    <row r="151" spans="2:6" hidden="1"/>
    <row r="152" spans="2:6" hidden="1"/>
    <row r="153" spans="2:6" hidden="1"/>
    <row r="155" spans="2:6">
      <c r="B155" s="96" t="s">
        <v>739</v>
      </c>
    </row>
    <row r="157" spans="2:6">
      <c r="B157" s="28"/>
      <c r="F157" s="37"/>
    </row>
  </sheetData>
  <mergeCells count="2">
    <mergeCell ref="A1:G1"/>
    <mergeCell ref="B10:O10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58"/>
  <sheetViews>
    <sheetView topLeftCell="A37" workbookViewId="0">
      <selection activeCell="H4" sqref="H4"/>
    </sheetView>
  </sheetViews>
  <sheetFormatPr baseColWidth="10" defaultRowHeight="15"/>
  <cols>
    <col min="1" max="1" width="18" style="417" customWidth="1"/>
    <col min="2" max="2" width="32.5703125" style="417" customWidth="1"/>
    <col min="3" max="3" width="25" style="417" customWidth="1"/>
    <col min="4" max="16384" width="11.42578125" style="417"/>
  </cols>
  <sheetData>
    <row r="1" spans="1:4" ht="26.25">
      <c r="A1" s="771" t="s">
        <v>126</v>
      </c>
      <c r="B1" s="772"/>
      <c r="C1" s="773"/>
    </row>
    <row r="2" spans="1:4" ht="26.25">
      <c r="A2" s="774" t="s">
        <v>565</v>
      </c>
      <c r="B2" s="775"/>
      <c r="C2" s="776"/>
    </row>
    <row r="3" spans="1:4" ht="15.75" thickBot="1">
      <c r="A3" s="418"/>
      <c r="B3" s="419"/>
      <c r="C3" s="420"/>
    </row>
    <row r="4" spans="1:4" ht="45">
      <c r="A4" s="421" t="s">
        <v>566</v>
      </c>
      <c r="B4" s="422" t="s">
        <v>567</v>
      </c>
      <c r="C4" s="423" t="s">
        <v>568</v>
      </c>
    </row>
    <row r="5" spans="1:4" ht="22.5" customHeight="1">
      <c r="A5" s="424" t="s">
        <v>569</v>
      </c>
      <c r="B5" s="425" t="s">
        <v>570</v>
      </c>
      <c r="C5" s="777" t="s">
        <v>571</v>
      </c>
    </row>
    <row r="6" spans="1:4">
      <c r="A6" s="424" t="s">
        <v>572</v>
      </c>
      <c r="B6" s="426" t="s">
        <v>573</v>
      </c>
      <c r="C6" s="778"/>
    </row>
    <row r="7" spans="1:4">
      <c r="A7" s="424" t="s">
        <v>574</v>
      </c>
      <c r="B7" s="427" t="s">
        <v>575</v>
      </c>
      <c r="C7" s="778"/>
    </row>
    <row r="8" spans="1:4" ht="15.75">
      <c r="A8" s="424" t="s">
        <v>576</v>
      </c>
      <c r="B8" s="427" t="s">
        <v>577</v>
      </c>
      <c r="C8" s="778"/>
      <c r="D8" s="428"/>
    </row>
    <row r="9" spans="1:4" ht="15.75">
      <c r="A9" s="780" t="s">
        <v>578</v>
      </c>
      <c r="B9" s="781"/>
      <c r="C9" s="778"/>
      <c r="D9" s="429"/>
    </row>
    <row r="10" spans="1:4" ht="15.75">
      <c r="A10" s="424" t="s">
        <v>579</v>
      </c>
      <c r="B10" s="427" t="s">
        <v>580</v>
      </c>
      <c r="C10" s="778"/>
      <c r="D10" s="429"/>
    </row>
    <row r="11" spans="1:4" ht="15.75">
      <c r="A11" s="424" t="s">
        <v>581</v>
      </c>
      <c r="B11" s="427">
        <v>2</v>
      </c>
      <c r="C11" s="778"/>
      <c r="D11" s="429"/>
    </row>
    <row r="12" spans="1:4" ht="15.75">
      <c r="A12" s="424" t="s">
        <v>582</v>
      </c>
      <c r="B12" s="430">
        <v>0.106</v>
      </c>
      <c r="C12" s="778"/>
      <c r="D12" s="429"/>
    </row>
    <row r="13" spans="1:4">
      <c r="A13" s="424" t="s">
        <v>583</v>
      </c>
      <c r="B13" s="431">
        <v>0.69</v>
      </c>
      <c r="C13" s="779"/>
    </row>
    <row r="14" spans="1:4" ht="15.75">
      <c r="A14" s="780" t="s">
        <v>584</v>
      </c>
      <c r="B14" s="781"/>
      <c r="C14" s="782" t="s">
        <v>585</v>
      </c>
      <c r="D14" s="428"/>
    </row>
    <row r="15" spans="1:4" ht="15.75">
      <c r="A15" s="424" t="s">
        <v>586</v>
      </c>
      <c r="B15" s="427" t="s">
        <v>587</v>
      </c>
      <c r="C15" s="783"/>
      <c r="D15" s="429"/>
    </row>
    <row r="16" spans="1:4" ht="30">
      <c r="A16" s="424" t="s">
        <v>588</v>
      </c>
      <c r="B16" s="426" t="s">
        <v>589</v>
      </c>
      <c r="C16" s="783"/>
      <c r="D16" s="429"/>
    </row>
    <row r="17" spans="1:3">
      <c r="A17" s="424" t="s">
        <v>590</v>
      </c>
      <c r="B17" s="427" t="s">
        <v>591</v>
      </c>
      <c r="C17" s="783"/>
    </row>
    <row r="18" spans="1:3">
      <c r="A18" s="424" t="s">
        <v>592</v>
      </c>
      <c r="B18" s="427" t="s">
        <v>593</v>
      </c>
      <c r="C18" s="783"/>
    </row>
    <row r="19" spans="1:3">
      <c r="A19" s="785" t="s">
        <v>594</v>
      </c>
      <c r="B19" s="781"/>
      <c r="C19" s="783"/>
    </row>
    <row r="20" spans="1:3">
      <c r="A20" s="424" t="s">
        <v>595</v>
      </c>
      <c r="B20" s="427" t="s">
        <v>596</v>
      </c>
      <c r="C20" s="783"/>
    </row>
    <row r="21" spans="1:3">
      <c r="A21" s="424" t="s">
        <v>597</v>
      </c>
      <c r="B21" s="427" t="s">
        <v>598</v>
      </c>
      <c r="C21" s="783"/>
    </row>
    <row r="22" spans="1:3">
      <c r="A22" s="424" t="s">
        <v>599</v>
      </c>
      <c r="B22" s="427" t="s">
        <v>600</v>
      </c>
      <c r="C22" s="783"/>
    </row>
    <row r="23" spans="1:3" ht="15.75" thickBot="1">
      <c r="A23" s="432"/>
      <c r="B23" s="433"/>
      <c r="C23" s="784"/>
    </row>
    <row r="24" spans="1:3" ht="3" customHeight="1"/>
    <row r="25" spans="1:3">
      <c r="A25" s="434" t="s">
        <v>601</v>
      </c>
    </row>
    <row r="26" spans="1:3">
      <c r="A26" s="434" t="s">
        <v>317</v>
      </c>
    </row>
    <row r="27" spans="1:3">
      <c r="A27" s="434" t="s">
        <v>602</v>
      </c>
    </row>
    <row r="31" spans="1:3" ht="15.75" thickBot="1"/>
    <row r="32" spans="1:3" ht="28.5">
      <c r="A32" s="786" t="s">
        <v>126</v>
      </c>
      <c r="B32" s="787"/>
      <c r="C32" s="788"/>
    </row>
    <row r="33" spans="1:3" ht="21">
      <c r="A33" s="789" t="s">
        <v>603</v>
      </c>
      <c r="B33" s="790"/>
      <c r="C33" s="791"/>
    </row>
    <row r="34" spans="1:3" ht="25.5" customHeight="1" thickBot="1">
      <c r="A34" s="418"/>
      <c r="B34" s="419"/>
      <c r="C34" s="420"/>
    </row>
    <row r="35" spans="1:3" ht="45">
      <c r="A35" s="421" t="s">
        <v>566</v>
      </c>
      <c r="B35" s="422" t="s">
        <v>567</v>
      </c>
      <c r="C35" s="423" t="s">
        <v>568</v>
      </c>
    </row>
    <row r="36" spans="1:3" ht="15.75">
      <c r="A36" s="424" t="s">
        <v>569</v>
      </c>
      <c r="B36" s="425" t="s">
        <v>604</v>
      </c>
      <c r="C36" s="777" t="s">
        <v>571</v>
      </c>
    </row>
    <row r="37" spans="1:3">
      <c r="A37" s="424" t="s">
        <v>572</v>
      </c>
      <c r="B37" s="426" t="s">
        <v>605</v>
      </c>
      <c r="C37" s="778"/>
    </row>
    <row r="38" spans="1:3">
      <c r="A38" s="424" t="s">
        <v>574</v>
      </c>
      <c r="B38" s="427" t="s">
        <v>606</v>
      </c>
      <c r="C38" s="778"/>
    </row>
    <row r="39" spans="1:3">
      <c r="A39" s="424" t="s">
        <v>576</v>
      </c>
      <c r="B39" s="427" t="s">
        <v>577</v>
      </c>
      <c r="C39" s="778"/>
    </row>
    <row r="40" spans="1:3">
      <c r="A40" s="780" t="s">
        <v>578</v>
      </c>
      <c r="B40" s="781"/>
      <c r="C40" s="778"/>
    </row>
    <row r="41" spans="1:3">
      <c r="A41" s="424" t="s">
        <v>579</v>
      </c>
      <c r="B41" s="427" t="s">
        <v>580</v>
      </c>
      <c r="C41" s="778"/>
    </row>
    <row r="42" spans="1:3">
      <c r="A42" s="424" t="s">
        <v>581</v>
      </c>
      <c r="B42" s="427">
        <v>2</v>
      </c>
      <c r="C42" s="778"/>
    </row>
    <row r="43" spans="1:3">
      <c r="A43" s="424" t="s">
        <v>582</v>
      </c>
      <c r="B43" s="430">
        <v>0.08</v>
      </c>
      <c r="C43" s="778"/>
    </row>
    <row r="44" spans="1:3">
      <c r="A44" s="424" t="s">
        <v>583</v>
      </c>
      <c r="B44" s="431">
        <v>0.31</v>
      </c>
      <c r="C44" s="779"/>
    </row>
    <row r="45" spans="1:3">
      <c r="A45" s="780" t="s">
        <v>584</v>
      </c>
      <c r="B45" s="781"/>
      <c r="C45" s="782" t="s">
        <v>585</v>
      </c>
    </row>
    <row r="46" spans="1:3">
      <c r="A46" s="424" t="s">
        <v>586</v>
      </c>
      <c r="B46" s="427" t="s">
        <v>587</v>
      </c>
      <c r="C46" s="783"/>
    </row>
    <row r="47" spans="1:3" ht="30">
      <c r="A47" s="424" t="s">
        <v>588</v>
      </c>
      <c r="B47" s="426" t="s">
        <v>589</v>
      </c>
      <c r="C47" s="783"/>
    </row>
    <row r="48" spans="1:3">
      <c r="A48" s="424" t="s">
        <v>590</v>
      </c>
      <c r="B48" s="427" t="s">
        <v>591</v>
      </c>
      <c r="C48" s="783"/>
    </row>
    <row r="49" spans="1:3">
      <c r="A49" s="424" t="s">
        <v>592</v>
      </c>
      <c r="B49" s="427" t="s">
        <v>593</v>
      </c>
      <c r="C49" s="783"/>
    </row>
    <row r="50" spans="1:3">
      <c r="A50" s="785" t="s">
        <v>594</v>
      </c>
      <c r="B50" s="781"/>
      <c r="C50" s="783"/>
    </row>
    <row r="51" spans="1:3">
      <c r="A51" s="424" t="s">
        <v>595</v>
      </c>
      <c r="B51" s="427" t="s">
        <v>596</v>
      </c>
      <c r="C51" s="783"/>
    </row>
    <row r="52" spans="1:3">
      <c r="A52" s="424" t="s">
        <v>597</v>
      </c>
      <c r="B52" s="427" t="s">
        <v>607</v>
      </c>
      <c r="C52" s="783"/>
    </row>
    <row r="53" spans="1:3">
      <c r="A53" s="424" t="s">
        <v>599</v>
      </c>
      <c r="B53" s="427" t="s">
        <v>600</v>
      </c>
      <c r="C53" s="783"/>
    </row>
    <row r="54" spans="1:3" ht="15.75" thickBot="1">
      <c r="A54" s="432"/>
      <c r="B54" s="433"/>
      <c r="C54" s="784"/>
    </row>
    <row r="56" spans="1:3">
      <c r="A56" s="434" t="s">
        <v>601</v>
      </c>
    </row>
    <row r="57" spans="1:3">
      <c r="A57" s="434" t="s">
        <v>317</v>
      </c>
    </row>
    <row r="58" spans="1:3">
      <c r="A58" s="434" t="s">
        <v>608</v>
      </c>
    </row>
  </sheetData>
  <mergeCells count="14">
    <mergeCell ref="A32:C32"/>
    <mergeCell ref="A33:C33"/>
    <mergeCell ref="C36:C44"/>
    <mergeCell ref="A40:B40"/>
    <mergeCell ref="A45:B45"/>
    <mergeCell ref="C45:C54"/>
    <mergeCell ref="A50:B50"/>
    <mergeCell ref="A1:C1"/>
    <mergeCell ref="A2:C2"/>
    <mergeCell ref="C5:C13"/>
    <mergeCell ref="A9:B9"/>
    <mergeCell ref="A14:B14"/>
    <mergeCell ref="C14:C23"/>
    <mergeCell ref="A19:B19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4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H34" sqref="H34"/>
    </sheetView>
  </sheetViews>
  <sheetFormatPr baseColWidth="10" defaultColWidth="11.42578125" defaultRowHeight="12.75"/>
  <cols>
    <col min="1" max="1" width="15.7109375" customWidth="1"/>
    <col min="2" max="2" width="14.5703125" customWidth="1"/>
    <col min="3" max="3" width="13.7109375" customWidth="1"/>
    <col min="4" max="4" width="13.42578125" customWidth="1"/>
    <col min="5" max="5" width="15" customWidth="1"/>
    <col min="6" max="6" width="15.42578125" customWidth="1"/>
    <col min="7" max="7" width="8.85546875" customWidth="1"/>
    <col min="8" max="8" width="17.85546875" customWidth="1"/>
    <col min="9" max="14" width="6" customWidth="1"/>
  </cols>
  <sheetData>
    <row r="1" spans="1:10">
      <c r="A1" s="96" t="s">
        <v>609</v>
      </c>
      <c r="B1" s="435">
        <f>SUMIF(D9:D152,"&gt;0",B9:B152)</f>
        <v>7175.579999999939</v>
      </c>
      <c r="C1" s="436">
        <f>B1+(B5*B4)</f>
        <v>7175.579999999939</v>
      </c>
      <c r="F1" s="437"/>
    </row>
    <row r="2" spans="1:10">
      <c r="A2" s="96" t="s">
        <v>610</v>
      </c>
      <c r="B2" s="438">
        <v>3540</v>
      </c>
    </row>
    <row r="3" spans="1:10">
      <c r="A3" s="96" t="s">
        <v>611</v>
      </c>
      <c r="B3" s="439">
        <v>0.16200000000000001</v>
      </c>
      <c r="E3">
        <f>3540*17%*12</f>
        <v>7221.6</v>
      </c>
    </row>
    <row r="4" spans="1:10">
      <c r="A4" s="96" t="s">
        <v>612</v>
      </c>
      <c r="B4">
        <v>1</v>
      </c>
      <c r="E4">
        <f>+E3/100</f>
        <v>72.216000000000008</v>
      </c>
    </row>
    <row r="5" spans="1:10">
      <c r="A5" s="96" t="s">
        <v>127</v>
      </c>
      <c r="B5" s="440">
        <v>0</v>
      </c>
    </row>
    <row r="6" spans="1:10" ht="13.5" thickBot="1">
      <c r="A6" s="96"/>
    </row>
    <row r="7" spans="1:10">
      <c r="A7" s="441" t="s">
        <v>613</v>
      </c>
      <c r="B7" s="442" t="s">
        <v>614</v>
      </c>
      <c r="C7" s="442" t="s">
        <v>615</v>
      </c>
      <c r="D7" s="442" t="s">
        <v>616</v>
      </c>
      <c r="E7" s="443" t="s">
        <v>617</v>
      </c>
      <c r="F7" s="96" t="s">
        <v>127</v>
      </c>
    </row>
    <row r="8" spans="1:10">
      <c r="A8" s="20"/>
      <c r="B8" s="444"/>
      <c r="C8" s="444"/>
      <c r="D8" s="444"/>
      <c r="E8" s="445">
        <f>+B2</f>
        <v>3540</v>
      </c>
      <c r="F8" s="446"/>
    </row>
    <row r="9" spans="1:10">
      <c r="A9" s="447">
        <v>1</v>
      </c>
      <c r="B9" s="448">
        <f>+($B$2*($B$3/12))/(1-(1+($B$3/12))^-($B$4))</f>
        <v>3587.7899999999695</v>
      </c>
      <c r="C9" s="449">
        <f t="shared" ref="C9:C72" si="0">+B9-D9</f>
        <v>3539.9999999999695</v>
      </c>
      <c r="D9" s="449">
        <f>+E8*($B$3/12)</f>
        <v>47.79</v>
      </c>
      <c r="E9" s="450">
        <f t="shared" ref="E9:E72" si="1">+E8-C9</f>
        <v>3.0468072509393096E-11</v>
      </c>
      <c r="F9" s="451">
        <f>(C9+D9)+$B$5</f>
        <v>3587.7899999999695</v>
      </c>
      <c r="G9" s="452"/>
    </row>
    <row r="10" spans="1:10">
      <c r="A10" s="447">
        <f>+A9+1</f>
        <v>2</v>
      </c>
      <c r="B10" s="448">
        <f t="shared" ref="B10:B73" si="2">+($B$2*($B$3/12))/(1-(1+($B$3/12))^-($B$4))</f>
        <v>3587.7899999999695</v>
      </c>
      <c r="C10" s="449">
        <f t="shared" si="0"/>
        <v>3587.789999999969</v>
      </c>
      <c r="D10" s="449">
        <f t="shared" ref="D10:D73" si="3">+E9*($B$3/12)</f>
        <v>4.1131897887680678E-13</v>
      </c>
      <c r="E10" s="450">
        <f t="shared" si="1"/>
        <v>-3587.7899999999386</v>
      </c>
      <c r="F10" s="451">
        <f t="shared" ref="F10:F73" si="4">(C10+D10)+$B$5</f>
        <v>3587.7899999999695</v>
      </c>
    </row>
    <row r="11" spans="1:10">
      <c r="A11" s="447">
        <f t="shared" ref="A11:A74" si="5">+A10+1</f>
        <v>3</v>
      </c>
      <c r="B11" s="448">
        <f t="shared" si="2"/>
        <v>3587.7899999999695</v>
      </c>
      <c r="C11" s="449">
        <f t="shared" si="0"/>
        <v>3636.2251649999685</v>
      </c>
      <c r="D11" s="449">
        <f t="shared" si="3"/>
        <v>-48.435164999999174</v>
      </c>
      <c r="E11" s="450">
        <f t="shared" si="1"/>
        <v>-7224.015164999907</v>
      </c>
      <c r="F11" s="451">
        <f t="shared" si="4"/>
        <v>3587.7899999999695</v>
      </c>
    </row>
    <row r="12" spans="1:10">
      <c r="A12" s="447">
        <f t="shared" si="5"/>
        <v>4</v>
      </c>
      <c r="B12" s="448">
        <f t="shared" si="2"/>
        <v>3587.7899999999695</v>
      </c>
      <c r="C12" s="449">
        <f t="shared" si="0"/>
        <v>3685.3142047274682</v>
      </c>
      <c r="D12" s="449">
        <f t="shared" si="3"/>
        <v>-97.524204727498741</v>
      </c>
      <c r="E12" s="450">
        <f t="shared" si="1"/>
        <v>-10909.329369727375</v>
      </c>
      <c r="F12" s="451">
        <f t="shared" si="4"/>
        <v>3587.7899999999695</v>
      </c>
      <c r="H12" s="453"/>
    </row>
    <row r="13" spans="1:10">
      <c r="A13" s="447">
        <f t="shared" si="5"/>
        <v>5</v>
      </c>
      <c r="B13" s="448">
        <f t="shared" si="2"/>
        <v>3587.7899999999695</v>
      </c>
      <c r="C13" s="449">
        <f t="shared" si="0"/>
        <v>3735.0659464912892</v>
      </c>
      <c r="D13" s="449">
        <f t="shared" si="3"/>
        <v>-147.27594649131956</v>
      </c>
      <c r="E13" s="450">
        <f t="shared" si="1"/>
        <v>-14644.395316218664</v>
      </c>
      <c r="F13" s="451">
        <f t="shared" si="4"/>
        <v>3587.7899999999695</v>
      </c>
    </row>
    <row r="14" spans="1:10">
      <c r="A14" s="447">
        <f t="shared" si="5"/>
        <v>6</v>
      </c>
      <c r="B14" s="448">
        <f t="shared" si="2"/>
        <v>3587.7899999999695</v>
      </c>
      <c r="C14" s="449">
        <f t="shared" si="0"/>
        <v>3785.4893367689215</v>
      </c>
      <c r="D14" s="449">
        <f t="shared" si="3"/>
        <v>-197.69933676895198</v>
      </c>
      <c r="E14" s="450">
        <f t="shared" si="1"/>
        <v>-18429.884652987585</v>
      </c>
      <c r="F14" s="451">
        <f t="shared" si="4"/>
        <v>3587.7899999999695</v>
      </c>
    </row>
    <row r="15" spans="1:10">
      <c r="A15" s="447">
        <f t="shared" si="5"/>
        <v>7</v>
      </c>
      <c r="B15" s="448">
        <f t="shared" si="2"/>
        <v>3587.7899999999695</v>
      </c>
      <c r="C15" s="449">
        <f t="shared" si="0"/>
        <v>3836.5934428153018</v>
      </c>
      <c r="D15" s="449">
        <f t="shared" si="3"/>
        <v>-248.8034428153324</v>
      </c>
      <c r="E15" s="450">
        <f t="shared" si="1"/>
        <v>-22266.478095802886</v>
      </c>
      <c r="F15" s="451">
        <f t="shared" si="4"/>
        <v>3587.7899999999695</v>
      </c>
      <c r="H15" s="454">
        <f>+F9</f>
        <v>3587.7899999999695</v>
      </c>
      <c r="I15" s="455" t="s">
        <v>618</v>
      </c>
      <c r="J15" s="455"/>
    </row>
    <row r="16" spans="1:10">
      <c r="A16" s="447">
        <f t="shared" si="5"/>
        <v>8</v>
      </c>
      <c r="B16" s="448">
        <f t="shared" si="2"/>
        <v>3587.7899999999695</v>
      </c>
      <c r="C16" s="449">
        <f t="shared" si="0"/>
        <v>3888.3874542933086</v>
      </c>
      <c r="D16" s="449">
        <f t="shared" si="3"/>
        <v>-300.59745429333896</v>
      </c>
      <c r="E16" s="450">
        <f t="shared" si="1"/>
        <v>-26154.865550096194</v>
      </c>
      <c r="F16" s="451">
        <f t="shared" si="4"/>
        <v>3587.7899999999695</v>
      </c>
      <c r="H16" s="455">
        <f>+B4</f>
        <v>1</v>
      </c>
      <c r="I16" s="455" t="s">
        <v>89</v>
      </c>
      <c r="J16" s="455"/>
    </row>
    <row r="17" spans="1:11">
      <c r="A17" s="447">
        <f t="shared" si="5"/>
        <v>9</v>
      </c>
      <c r="B17" s="448">
        <f t="shared" si="2"/>
        <v>3587.7899999999695</v>
      </c>
      <c r="C17" s="449">
        <f t="shared" si="0"/>
        <v>3940.8806849262683</v>
      </c>
      <c r="D17" s="449">
        <f t="shared" si="3"/>
        <v>-353.09068492629859</v>
      </c>
      <c r="E17" s="450">
        <f t="shared" si="1"/>
        <v>-30095.746235022463</v>
      </c>
      <c r="F17" s="451">
        <f t="shared" si="4"/>
        <v>3587.7899999999695</v>
      </c>
      <c r="H17" s="455">
        <f>+H15*H16</f>
        <v>3587.7899999999695</v>
      </c>
      <c r="I17" s="455" t="s">
        <v>619</v>
      </c>
      <c r="J17" s="455"/>
    </row>
    <row r="18" spans="1:11">
      <c r="A18" s="447">
        <f t="shared" si="5"/>
        <v>10</v>
      </c>
      <c r="B18" s="448">
        <f t="shared" si="2"/>
        <v>3587.7899999999695</v>
      </c>
      <c r="C18" s="449">
        <f t="shared" si="0"/>
        <v>3994.0825741727726</v>
      </c>
      <c r="D18" s="449">
        <f t="shared" si="3"/>
        <v>-406.29257417280326</v>
      </c>
      <c r="E18" s="450">
        <f t="shared" si="1"/>
        <v>-34089.828809195234</v>
      </c>
      <c r="F18" s="451">
        <f t="shared" si="4"/>
        <v>3587.7899999999695</v>
      </c>
      <c r="H18" s="454">
        <f>+B2</f>
        <v>3540</v>
      </c>
      <c r="I18" s="455" t="s">
        <v>128</v>
      </c>
      <c r="J18" s="455"/>
    </row>
    <row r="19" spans="1:11">
      <c r="A19" s="447">
        <f t="shared" si="5"/>
        <v>11</v>
      </c>
      <c r="B19" s="448">
        <f t="shared" si="2"/>
        <v>3587.7899999999695</v>
      </c>
      <c r="C19" s="449">
        <f t="shared" si="0"/>
        <v>4048.0026889241053</v>
      </c>
      <c r="D19" s="449">
        <f t="shared" si="3"/>
        <v>-460.21268892413565</v>
      </c>
      <c r="E19" s="450">
        <f t="shared" si="1"/>
        <v>-38137.83149811934</v>
      </c>
      <c r="F19" s="451">
        <f t="shared" si="4"/>
        <v>3587.7899999999695</v>
      </c>
      <c r="H19" s="456">
        <f>+H17-H18</f>
        <v>47.789999999969496</v>
      </c>
      <c r="I19" s="457" t="s">
        <v>129</v>
      </c>
      <c r="J19" s="455"/>
    </row>
    <row r="20" spans="1:11">
      <c r="A20" s="447">
        <f t="shared" si="5"/>
        <v>12</v>
      </c>
      <c r="B20" s="448">
        <f t="shared" si="2"/>
        <v>3587.7899999999695</v>
      </c>
      <c r="C20" s="449">
        <f t="shared" si="0"/>
        <v>4102.650725224581</v>
      </c>
      <c r="D20" s="449">
        <f t="shared" si="3"/>
        <v>-514.86072522461109</v>
      </c>
      <c r="E20" s="450">
        <f t="shared" si="1"/>
        <v>-42240.482223343919</v>
      </c>
      <c r="F20" s="451">
        <f t="shared" si="4"/>
        <v>3587.78999999997</v>
      </c>
      <c r="H20" s="455"/>
      <c r="I20" s="455"/>
      <c r="J20" s="455"/>
    </row>
    <row r="21" spans="1:11">
      <c r="A21" s="458">
        <f t="shared" si="5"/>
        <v>13</v>
      </c>
      <c r="B21" s="459">
        <f t="shared" si="2"/>
        <v>3587.7899999999695</v>
      </c>
      <c r="C21" s="460">
        <f t="shared" si="0"/>
        <v>4158.0365100151121</v>
      </c>
      <c r="D21" s="460">
        <f t="shared" si="3"/>
        <v>-570.24651001514292</v>
      </c>
      <c r="E21" s="461">
        <f t="shared" si="1"/>
        <v>-46398.518733359029</v>
      </c>
      <c r="F21" s="462">
        <f t="shared" si="4"/>
        <v>3587.789999999969</v>
      </c>
    </row>
    <row r="22" spans="1:11">
      <c r="A22" s="458">
        <f t="shared" si="5"/>
        <v>14</v>
      </c>
      <c r="B22" s="459">
        <f t="shared" si="2"/>
        <v>3587.7899999999695</v>
      </c>
      <c r="C22" s="460">
        <f t="shared" si="0"/>
        <v>4214.1700029003168</v>
      </c>
      <c r="D22" s="460">
        <f t="shared" si="3"/>
        <v>-626.38000290034688</v>
      </c>
      <c r="E22" s="461">
        <f t="shared" si="1"/>
        <v>-50612.688736259348</v>
      </c>
      <c r="F22" s="462">
        <f t="shared" si="4"/>
        <v>3587.78999999997</v>
      </c>
    </row>
    <row r="23" spans="1:11">
      <c r="A23" s="458">
        <f t="shared" si="5"/>
        <v>15</v>
      </c>
      <c r="B23" s="459">
        <f t="shared" si="2"/>
        <v>3587.7899999999695</v>
      </c>
      <c r="C23" s="460">
        <f t="shared" si="0"/>
        <v>4271.0612979394709</v>
      </c>
      <c r="D23" s="460">
        <f t="shared" si="3"/>
        <v>-683.27129793950121</v>
      </c>
      <c r="E23" s="461">
        <f t="shared" si="1"/>
        <v>-54883.75003419882</v>
      </c>
      <c r="F23" s="462">
        <f t="shared" si="4"/>
        <v>3587.78999999997</v>
      </c>
      <c r="G23" s="143" t="s">
        <v>620</v>
      </c>
      <c r="H23" s="463">
        <f>SUM(D9:D20)</f>
        <v>-2727.0022233442892</v>
      </c>
      <c r="I23" s="464"/>
      <c r="K23">
        <v>318.27</v>
      </c>
    </row>
    <row r="24" spans="1:11">
      <c r="A24" s="458">
        <f t="shared" si="5"/>
        <v>16</v>
      </c>
      <c r="B24" s="459">
        <f t="shared" si="2"/>
        <v>3587.7899999999695</v>
      </c>
      <c r="C24" s="460">
        <f t="shared" si="0"/>
        <v>4328.720625461654</v>
      </c>
      <c r="D24" s="460">
        <f t="shared" si="3"/>
        <v>-740.93062546168403</v>
      </c>
      <c r="E24" s="461">
        <f t="shared" si="1"/>
        <v>-59212.470659660474</v>
      </c>
      <c r="F24" s="462">
        <f t="shared" si="4"/>
        <v>3587.78999999997</v>
      </c>
      <c r="G24" s="143" t="s">
        <v>621</v>
      </c>
      <c r="H24" s="463">
        <f>SUM(D21:D32)</f>
        <v>-10719.66026292791</v>
      </c>
    </row>
    <row r="25" spans="1:11">
      <c r="A25" s="458">
        <f t="shared" si="5"/>
        <v>17</v>
      </c>
      <c r="B25" s="459">
        <f t="shared" si="2"/>
        <v>3587.7899999999695</v>
      </c>
      <c r="C25" s="460">
        <f t="shared" si="0"/>
        <v>4387.1583539053863</v>
      </c>
      <c r="D25" s="460">
        <f t="shared" si="3"/>
        <v>-799.36835390541637</v>
      </c>
      <c r="E25" s="461">
        <f t="shared" si="1"/>
        <v>-63599.629013565864</v>
      </c>
      <c r="F25" s="462">
        <f t="shared" si="4"/>
        <v>3587.78999999997</v>
      </c>
      <c r="G25" s="143" t="s">
        <v>622</v>
      </c>
      <c r="H25" s="463">
        <f>SUM(D33:D44)</f>
        <v>-20107.729172717402</v>
      </c>
    </row>
    <row r="26" spans="1:11">
      <c r="A26" s="458">
        <f t="shared" si="5"/>
        <v>18</v>
      </c>
      <c r="B26" s="459">
        <f t="shared" si="2"/>
        <v>3587.7899999999695</v>
      </c>
      <c r="C26" s="460">
        <f t="shared" si="0"/>
        <v>4446.3849916831086</v>
      </c>
      <c r="D26" s="460">
        <f t="shared" si="3"/>
        <v>-858.59499168313914</v>
      </c>
      <c r="E26" s="461">
        <f t="shared" si="1"/>
        <v>-68046.014005248973</v>
      </c>
      <c r="F26" s="462">
        <f t="shared" si="4"/>
        <v>3587.7899999999695</v>
      </c>
      <c r="G26" s="143" t="s">
        <v>623</v>
      </c>
      <c r="H26" s="463">
        <f>SUM(D45:D56)</f>
        <v>-31134.828970865092</v>
      </c>
    </row>
    <row r="27" spans="1:11">
      <c r="A27" s="458">
        <f t="shared" si="5"/>
        <v>19</v>
      </c>
      <c r="B27" s="459">
        <f t="shared" si="2"/>
        <v>3587.7899999999695</v>
      </c>
      <c r="C27" s="460">
        <f t="shared" si="0"/>
        <v>4506.4111890708309</v>
      </c>
      <c r="D27" s="460">
        <f t="shared" si="3"/>
        <v>-918.62118907086108</v>
      </c>
      <c r="E27" s="461">
        <f t="shared" si="1"/>
        <v>-72552.425194319803</v>
      </c>
      <c r="F27" s="462">
        <f t="shared" si="4"/>
        <v>3587.78999999997</v>
      </c>
      <c r="G27" s="143" t="s">
        <v>624</v>
      </c>
      <c r="H27" s="463">
        <f>SUM(D57:D68)</f>
        <v>-44087.112462469246</v>
      </c>
    </row>
    <row r="28" spans="1:11">
      <c r="A28" s="458">
        <f t="shared" si="5"/>
        <v>20</v>
      </c>
      <c r="B28" s="459">
        <f t="shared" si="2"/>
        <v>3587.7899999999695</v>
      </c>
      <c r="C28" s="460">
        <f t="shared" si="0"/>
        <v>4567.2477401232863</v>
      </c>
      <c r="D28" s="460">
        <f t="shared" si="3"/>
        <v>-979.45774012331731</v>
      </c>
      <c r="E28" s="461">
        <f t="shared" si="1"/>
        <v>-77119.672934443093</v>
      </c>
      <c r="F28" s="462">
        <f t="shared" si="4"/>
        <v>3587.789999999969</v>
      </c>
      <c r="G28" s="1"/>
      <c r="H28" s="465">
        <f>SUM(H23:H27)</f>
        <v>-108776.33309232394</v>
      </c>
    </row>
    <row r="29" spans="1:11">
      <c r="A29" s="458">
        <f t="shared" si="5"/>
        <v>21</v>
      </c>
      <c r="B29" s="459">
        <f t="shared" si="2"/>
        <v>3587.7899999999695</v>
      </c>
      <c r="C29" s="460">
        <f t="shared" si="0"/>
        <v>4628.9055846149513</v>
      </c>
      <c r="D29" s="460">
        <f t="shared" si="3"/>
        <v>-1041.1155846149818</v>
      </c>
      <c r="E29" s="461">
        <f t="shared" si="1"/>
        <v>-81748.57851905805</v>
      </c>
      <c r="F29" s="462">
        <f t="shared" si="4"/>
        <v>3587.7899999999695</v>
      </c>
    </row>
    <row r="30" spans="1:11">
      <c r="A30" s="458">
        <f t="shared" si="5"/>
        <v>22</v>
      </c>
      <c r="B30" s="459">
        <f t="shared" si="2"/>
        <v>3587.7899999999695</v>
      </c>
      <c r="C30" s="460">
        <f t="shared" si="0"/>
        <v>4691.3958100072532</v>
      </c>
      <c r="D30" s="460">
        <f t="shared" si="3"/>
        <v>-1103.6058100072837</v>
      </c>
      <c r="E30" s="461">
        <f t="shared" si="1"/>
        <v>-86439.974329065299</v>
      </c>
      <c r="F30" s="462">
        <f t="shared" si="4"/>
        <v>3587.7899999999695</v>
      </c>
    </row>
    <row r="31" spans="1:11">
      <c r="A31" s="458">
        <f t="shared" si="5"/>
        <v>23</v>
      </c>
      <c r="B31" s="459">
        <f t="shared" si="2"/>
        <v>3587.7899999999695</v>
      </c>
      <c r="C31" s="460">
        <f t="shared" si="0"/>
        <v>4754.7296534423513</v>
      </c>
      <c r="D31" s="460">
        <f t="shared" si="3"/>
        <v>-1166.9396534423815</v>
      </c>
      <c r="E31" s="461">
        <f t="shared" si="1"/>
        <v>-91194.70398250765</v>
      </c>
      <c r="F31" s="462">
        <f t="shared" si="4"/>
        <v>3587.78999999997</v>
      </c>
    </row>
    <row r="32" spans="1:11">
      <c r="A32" s="458">
        <f t="shared" si="5"/>
        <v>24</v>
      </c>
      <c r="B32" s="459">
        <f t="shared" si="2"/>
        <v>3587.7899999999695</v>
      </c>
      <c r="C32" s="460">
        <f t="shared" si="0"/>
        <v>4818.9185037638226</v>
      </c>
      <c r="D32" s="460">
        <f t="shared" si="3"/>
        <v>-1231.1285037638534</v>
      </c>
      <c r="E32" s="461">
        <f t="shared" si="1"/>
        <v>-96013.622486271473</v>
      </c>
      <c r="F32" s="462">
        <f t="shared" si="4"/>
        <v>3587.789999999969</v>
      </c>
    </row>
    <row r="33" spans="1:8">
      <c r="A33" s="466">
        <f t="shared" si="5"/>
        <v>25</v>
      </c>
      <c r="B33" s="467">
        <f t="shared" si="2"/>
        <v>3587.7899999999695</v>
      </c>
      <c r="C33" s="468">
        <f t="shared" si="0"/>
        <v>4883.9739035646344</v>
      </c>
      <c r="D33" s="468">
        <f t="shared" si="3"/>
        <v>-1296.1839035646649</v>
      </c>
      <c r="E33" s="469">
        <f t="shared" si="1"/>
        <v>-100897.59638983611</v>
      </c>
      <c r="F33" s="470">
        <f t="shared" si="4"/>
        <v>3587.7899999999695</v>
      </c>
      <c r="H33" t="s">
        <v>677</v>
      </c>
    </row>
    <row r="34" spans="1:8">
      <c r="A34" s="466">
        <f t="shared" si="5"/>
        <v>26</v>
      </c>
      <c r="B34" s="467">
        <f t="shared" si="2"/>
        <v>3587.7899999999695</v>
      </c>
      <c r="C34" s="468">
        <f t="shared" si="0"/>
        <v>4949.9075512627569</v>
      </c>
      <c r="D34" s="468">
        <f t="shared" si="3"/>
        <v>-1362.1175512627874</v>
      </c>
      <c r="E34" s="469">
        <f t="shared" si="1"/>
        <v>-105847.50394109887</v>
      </c>
      <c r="F34" s="470">
        <f t="shared" si="4"/>
        <v>3587.7899999999695</v>
      </c>
    </row>
    <row r="35" spans="1:8">
      <c r="A35" s="466">
        <f t="shared" si="5"/>
        <v>27</v>
      </c>
      <c r="B35" s="467">
        <f t="shared" si="2"/>
        <v>3587.7899999999695</v>
      </c>
      <c r="C35" s="468">
        <f t="shared" si="0"/>
        <v>5016.7313032048041</v>
      </c>
      <c r="D35" s="468">
        <f t="shared" si="3"/>
        <v>-1428.9413032048346</v>
      </c>
      <c r="E35" s="469">
        <f t="shared" si="1"/>
        <v>-110864.23524430368</v>
      </c>
      <c r="F35" s="470">
        <f t="shared" si="4"/>
        <v>3587.7899999999695</v>
      </c>
      <c r="H35">
        <f>+(1+16.2/6)*6-1</f>
        <v>21.2</v>
      </c>
    </row>
    <row r="36" spans="1:8">
      <c r="A36" s="466">
        <f t="shared" si="5"/>
        <v>28</v>
      </c>
      <c r="B36" s="467">
        <f t="shared" si="2"/>
        <v>3587.7899999999695</v>
      </c>
      <c r="C36" s="468">
        <f t="shared" si="0"/>
        <v>5084.4571757980693</v>
      </c>
      <c r="D36" s="468">
        <f t="shared" si="3"/>
        <v>-1496.6671757980996</v>
      </c>
      <c r="E36" s="469">
        <f t="shared" si="1"/>
        <v>-115948.69242010175</v>
      </c>
      <c r="F36" s="470">
        <f t="shared" si="4"/>
        <v>3587.78999999997</v>
      </c>
    </row>
    <row r="37" spans="1:8">
      <c r="A37" s="466">
        <f t="shared" si="5"/>
        <v>29</v>
      </c>
      <c r="B37" s="467">
        <f t="shared" si="2"/>
        <v>3587.7899999999695</v>
      </c>
      <c r="C37" s="468">
        <f t="shared" si="0"/>
        <v>5153.0973476713434</v>
      </c>
      <c r="D37" s="468">
        <f t="shared" si="3"/>
        <v>-1565.3073476713737</v>
      </c>
      <c r="E37" s="469">
        <f t="shared" si="1"/>
        <v>-121101.78976777309</v>
      </c>
      <c r="F37" s="470">
        <f t="shared" si="4"/>
        <v>3587.78999999997</v>
      </c>
    </row>
    <row r="38" spans="1:8">
      <c r="A38" s="466">
        <f t="shared" si="5"/>
        <v>30</v>
      </c>
      <c r="B38" s="467">
        <f t="shared" si="2"/>
        <v>3587.7899999999695</v>
      </c>
      <c r="C38" s="468">
        <f t="shared" si="0"/>
        <v>5222.6641618649064</v>
      </c>
      <c r="D38" s="468">
        <f t="shared" si="3"/>
        <v>-1634.8741618649367</v>
      </c>
      <c r="E38" s="469">
        <f t="shared" si="1"/>
        <v>-126324.453929638</v>
      </c>
      <c r="F38" s="470">
        <f t="shared" si="4"/>
        <v>3587.78999999997</v>
      </c>
    </row>
    <row r="39" spans="1:8">
      <c r="A39" s="466">
        <f t="shared" si="5"/>
        <v>31</v>
      </c>
      <c r="B39" s="467">
        <f t="shared" si="2"/>
        <v>3587.7899999999695</v>
      </c>
      <c r="C39" s="468">
        <f t="shared" si="0"/>
        <v>5293.170128050082</v>
      </c>
      <c r="D39" s="468">
        <f t="shared" si="3"/>
        <v>-1705.3801280501129</v>
      </c>
      <c r="E39" s="469">
        <f t="shared" si="1"/>
        <v>-131617.62405768808</v>
      </c>
      <c r="F39" s="470">
        <f t="shared" si="4"/>
        <v>3587.789999999969</v>
      </c>
    </row>
    <row r="40" spans="1:8">
      <c r="A40" s="466">
        <f t="shared" si="5"/>
        <v>32</v>
      </c>
      <c r="B40" s="467">
        <f t="shared" si="2"/>
        <v>3587.7899999999695</v>
      </c>
      <c r="C40" s="468">
        <f t="shared" si="0"/>
        <v>5364.6279247787588</v>
      </c>
      <c r="D40" s="468">
        <f t="shared" si="3"/>
        <v>-1776.8379247787891</v>
      </c>
      <c r="E40" s="469">
        <f t="shared" si="1"/>
        <v>-136982.25198246684</v>
      </c>
      <c r="F40" s="470">
        <f t="shared" si="4"/>
        <v>3587.78999999997</v>
      </c>
    </row>
    <row r="41" spans="1:8">
      <c r="A41" s="466">
        <f t="shared" si="5"/>
        <v>33</v>
      </c>
      <c r="B41" s="467">
        <f t="shared" si="2"/>
        <v>3587.7899999999695</v>
      </c>
      <c r="C41" s="468">
        <f t="shared" si="0"/>
        <v>5437.050401763272</v>
      </c>
      <c r="D41" s="468">
        <f t="shared" si="3"/>
        <v>-1849.2604017633023</v>
      </c>
      <c r="E41" s="469">
        <f t="shared" si="1"/>
        <v>-142419.3023842301</v>
      </c>
      <c r="F41" s="470">
        <f t="shared" si="4"/>
        <v>3587.78999999997</v>
      </c>
    </row>
    <row r="42" spans="1:8">
      <c r="A42" s="466">
        <f t="shared" si="5"/>
        <v>34</v>
      </c>
      <c r="B42" s="467">
        <f t="shared" si="2"/>
        <v>3587.7899999999695</v>
      </c>
      <c r="C42" s="468">
        <f t="shared" si="0"/>
        <v>5510.4505821870762</v>
      </c>
      <c r="D42" s="468">
        <f t="shared" si="3"/>
        <v>-1922.6605821871065</v>
      </c>
      <c r="E42" s="469">
        <f t="shared" si="1"/>
        <v>-147929.75296641717</v>
      </c>
      <c r="F42" s="470">
        <f t="shared" si="4"/>
        <v>3587.78999999997</v>
      </c>
    </row>
    <row r="43" spans="1:8">
      <c r="A43" s="466">
        <f t="shared" si="5"/>
        <v>35</v>
      </c>
      <c r="B43" s="467">
        <f t="shared" si="2"/>
        <v>3587.7899999999695</v>
      </c>
      <c r="C43" s="468">
        <f t="shared" si="0"/>
        <v>5584.8416650466015</v>
      </c>
      <c r="D43" s="468">
        <f t="shared" si="3"/>
        <v>-1997.0516650466318</v>
      </c>
      <c r="E43" s="469">
        <f t="shared" si="1"/>
        <v>-153514.59463146378</v>
      </c>
      <c r="F43" s="470">
        <f t="shared" si="4"/>
        <v>3587.78999999997</v>
      </c>
    </row>
    <row r="44" spans="1:8">
      <c r="A44" s="466">
        <f t="shared" si="5"/>
        <v>36</v>
      </c>
      <c r="B44" s="467">
        <f t="shared" si="2"/>
        <v>3587.7899999999695</v>
      </c>
      <c r="C44" s="468">
        <f t="shared" si="0"/>
        <v>5660.2370275247304</v>
      </c>
      <c r="D44" s="468">
        <f t="shared" si="3"/>
        <v>-2072.4470275247609</v>
      </c>
      <c r="E44" s="469">
        <f t="shared" si="1"/>
        <v>-159174.83165898852</v>
      </c>
      <c r="F44" s="470">
        <f t="shared" si="4"/>
        <v>3587.7899999999695</v>
      </c>
    </row>
    <row r="45" spans="1:8">
      <c r="A45" s="471">
        <f t="shared" si="5"/>
        <v>37</v>
      </c>
      <c r="B45" s="472">
        <f t="shared" si="2"/>
        <v>3587.7899999999695</v>
      </c>
      <c r="C45" s="473">
        <f t="shared" si="0"/>
        <v>5736.6502273963142</v>
      </c>
      <c r="D45" s="473">
        <f t="shared" si="3"/>
        <v>-2148.8602273963452</v>
      </c>
      <c r="E45" s="474">
        <f t="shared" si="1"/>
        <v>-164911.48188638483</v>
      </c>
      <c r="F45" s="475">
        <f t="shared" si="4"/>
        <v>3587.789999999969</v>
      </c>
    </row>
    <row r="46" spans="1:8">
      <c r="A46" s="471">
        <f t="shared" si="5"/>
        <v>38</v>
      </c>
      <c r="B46" s="472">
        <f t="shared" si="2"/>
        <v>3587.7899999999695</v>
      </c>
      <c r="C46" s="473">
        <f t="shared" si="0"/>
        <v>5814.0950054661644</v>
      </c>
      <c r="D46" s="473">
        <f t="shared" si="3"/>
        <v>-2226.3050054661953</v>
      </c>
      <c r="E46" s="474">
        <f t="shared" si="1"/>
        <v>-170725.576891851</v>
      </c>
      <c r="F46" s="475">
        <f t="shared" si="4"/>
        <v>3587.789999999969</v>
      </c>
    </row>
    <row r="47" spans="1:8">
      <c r="A47" s="471">
        <f t="shared" si="5"/>
        <v>39</v>
      </c>
      <c r="B47" s="472">
        <f t="shared" si="2"/>
        <v>3587.7899999999695</v>
      </c>
      <c r="C47" s="473">
        <f t="shared" si="0"/>
        <v>5892.585288039958</v>
      </c>
      <c r="D47" s="473">
        <f t="shared" si="3"/>
        <v>-2304.7952880399885</v>
      </c>
      <c r="E47" s="474">
        <f t="shared" si="1"/>
        <v>-176618.16217989096</v>
      </c>
      <c r="F47" s="475">
        <f t="shared" si="4"/>
        <v>3587.7899999999695</v>
      </c>
    </row>
    <row r="48" spans="1:8">
      <c r="A48" s="471">
        <f t="shared" si="5"/>
        <v>40</v>
      </c>
      <c r="B48" s="472">
        <f t="shared" si="2"/>
        <v>3587.7899999999695</v>
      </c>
      <c r="C48" s="473">
        <f t="shared" si="0"/>
        <v>5972.1351894284981</v>
      </c>
      <c r="D48" s="473">
        <f t="shared" si="3"/>
        <v>-2384.3451894285281</v>
      </c>
      <c r="E48" s="474">
        <f t="shared" si="1"/>
        <v>-182590.29736931945</v>
      </c>
      <c r="F48" s="475">
        <f t="shared" si="4"/>
        <v>3587.78999999997</v>
      </c>
    </row>
    <row r="49" spans="1:6">
      <c r="A49" s="471">
        <f t="shared" si="5"/>
        <v>41</v>
      </c>
      <c r="B49" s="472">
        <f t="shared" si="2"/>
        <v>3587.7899999999695</v>
      </c>
      <c r="C49" s="473">
        <f t="shared" si="0"/>
        <v>6052.7590144857822</v>
      </c>
      <c r="D49" s="473">
        <f t="shared" si="3"/>
        <v>-2464.9690144858127</v>
      </c>
      <c r="E49" s="474">
        <f t="shared" si="1"/>
        <v>-188643.05638380523</v>
      </c>
      <c r="F49" s="475">
        <f t="shared" si="4"/>
        <v>3587.7899999999695</v>
      </c>
    </row>
    <row r="50" spans="1:6">
      <c r="A50" s="471">
        <f t="shared" si="5"/>
        <v>42</v>
      </c>
      <c r="B50" s="472">
        <f t="shared" si="2"/>
        <v>3587.7899999999695</v>
      </c>
      <c r="C50" s="473">
        <f t="shared" si="0"/>
        <v>6134.4712611813402</v>
      </c>
      <c r="D50" s="473">
        <f t="shared" si="3"/>
        <v>-2546.6812611813707</v>
      </c>
      <c r="E50" s="474">
        <f t="shared" si="1"/>
        <v>-194777.52764498658</v>
      </c>
      <c r="F50" s="475">
        <f t="shared" si="4"/>
        <v>3587.7899999999695</v>
      </c>
    </row>
    <row r="51" spans="1:6">
      <c r="A51" s="471">
        <f t="shared" si="5"/>
        <v>43</v>
      </c>
      <c r="B51" s="472">
        <f t="shared" si="2"/>
        <v>3587.7899999999695</v>
      </c>
      <c r="C51" s="473">
        <f t="shared" si="0"/>
        <v>6217.2866232072884</v>
      </c>
      <c r="D51" s="473">
        <f t="shared" si="3"/>
        <v>-2629.4966232073189</v>
      </c>
      <c r="E51" s="474">
        <f t="shared" si="1"/>
        <v>-200994.81426819388</v>
      </c>
      <c r="F51" s="475">
        <f t="shared" si="4"/>
        <v>3587.7899999999695</v>
      </c>
    </row>
    <row r="52" spans="1:6">
      <c r="A52" s="471">
        <f t="shared" si="5"/>
        <v>44</v>
      </c>
      <c r="B52" s="472">
        <f t="shared" si="2"/>
        <v>3587.7899999999695</v>
      </c>
      <c r="C52" s="473">
        <f t="shared" si="0"/>
        <v>6301.2199926205867</v>
      </c>
      <c r="D52" s="473">
        <f t="shared" si="3"/>
        <v>-2713.4299926206172</v>
      </c>
      <c r="E52" s="474">
        <f t="shared" si="1"/>
        <v>-207296.03426081446</v>
      </c>
      <c r="F52" s="475">
        <f t="shared" si="4"/>
        <v>3587.7899999999695</v>
      </c>
    </row>
    <row r="53" spans="1:6">
      <c r="A53" s="471">
        <f t="shared" si="5"/>
        <v>45</v>
      </c>
      <c r="B53" s="472">
        <f t="shared" si="2"/>
        <v>3587.7899999999695</v>
      </c>
      <c r="C53" s="473">
        <f t="shared" si="0"/>
        <v>6386.2864625209641</v>
      </c>
      <c r="D53" s="473">
        <f t="shared" si="3"/>
        <v>-2798.496462520995</v>
      </c>
      <c r="E53" s="474">
        <f t="shared" si="1"/>
        <v>-213682.32072333543</v>
      </c>
      <c r="F53" s="475">
        <f t="shared" si="4"/>
        <v>3587.789999999969</v>
      </c>
    </row>
    <row r="54" spans="1:6">
      <c r="A54" s="471">
        <f t="shared" si="5"/>
        <v>46</v>
      </c>
      <c r="B54" s="472">
        <f t="shared" si="2"/>
        <v>3587.7899999999695</v>
      </c>
      <c r="C54" s="473">
        <f t="shared" si="0"/>
        <v>6472.5013297649984</v>
      </c>
      <c r="D54" s="473">
        <f t="shared" si="3"/>
        <v>-2884.7113297650285</v>
      </c>
      <c r="E54" s="474">
        <f t="shared" si="1"/>
        <v>-220154.82205310042</v>
      </c>
      <c r="F54" s="475">
        <f t="shared" si="4"/>
        <v>3587.78999999997</v>
      </c>
    </row>
    <row r="55" spans="1:6">
      <c r="A55" s="471">
        <f t="shared" si="5"/>
        <v>47</v>
      </c>
      <c r="B55" s="472">
        <f t="shared" si="2"/>
        <v>3587.7899999999695</v>
      </c>
      <c r="C55" s="473">
        <f t="shared" si="0"/>
        <v>6559.8800977168248</v>
      </c>
      <c r="D55" s="473">
        <f t="shared" si="3"/>
        <v>-2972.0900977168558</v>
      </c>
      <c r="E55" s="474">
        <f t="shared" si="1"/>
        <v>-226714.70215081723</v>
      </c>
      <c r="F55" s="475">
        <f t="shared" si="4"/>
        <v>3587.789999999969</v>
      </c>
    </row>
    <row r="56" spans="1:6">
      <c r="A56" s="471">
        <f t="shared" si="5"/>
        <v>48</v>
      </c>
      <c r="B56" s="472">
        <f t="shared" si="2"/>
        <v>3587.7899999999695</v>
      </c>
      <c r="C56" s="473">
        <f t="shared" si="0"/>
        <v>6648.4384790360018</v>
      </c>
      <c r="D56" s="473">
        <f t="shared" si="3"/>
        <v>-3060.6484790360328</v>
      </c>
      <c r="E56" s="474">
        <f t="shared" si="1"/>
        <v>-233363.14062985324</v>
      </c>
      <c r="F56" s="475">
        <f t="shared" si="4"/>
        <v>3587.789999999969</v>
      </c>
    </row>
    <row r="57" spans="1:6">
      <c r="A57" s="476">
        <f t="shared" si="5"/>
        <v>49</v>
      </c>
      <c r="B57" s="477">
        <f t="shared" si="2"/>
        <v>3587.7899999999695</v>
      </c>
      <c r="C57" s="478">
        <f t="shared" si="0"/>
        <v>6738.192398502988</v>
      </c>
      <c r="D57" s="478">
        <f t="shared" si="3"/>
        <v>-3150.4023985030185</v>
      </c>
      <c r="E57" s="479">
        <f t="shared" si="1"/>
        <v>-240101.33302835622</v>
      </c>
      <c r="F57" s="480">
        <f t="shared" si="4"/>
        <v>3587.7899999999695</v>
      </c>
    </row>
    <row r="58" spans="1:6">
      <c r="A58" s="476">
        <f t="shared" si="5"/>
        <v>50</v>
      </c>
      <c r="B58" s="477">
        <f t="shared" si="2"/>
        <v>3587.7899999999695</v>
      </c>
      <c r="C58" s="478">
        <f t="shared" si="0"/>
        <v>6829.1579958827788</v>
      </c>
      <c r="D58" s="478">
        <f t="shared" si="3"/>
        <v>-3241.3679958828088</v>
      </c>
      <c r="E58" s="479">
        <f t="shared" si="1"/>
        <v>-246930.49102423899</v>
      </c>
      <c r="F58" s="480">
        <f t="shared" si="4"/>
        <v>3587.78999999997</v>
      </c>
    </row>
    <row r="59" spans="1:6">
      <c r="A59" s="476">
        <f t="shared" si="5"/>
        <v>51</v>
      </c>
      <c r="B59" s="477">
        <f t="shared" si="2"/>
        <v>3587.7899999999695</v>
      </c>
      <c r="C59" s="478">
        <f t="shared" si="0"/>
        <v>6921.3516288271958</v>
      </c>
      <c r="D59" s="478">
        <f t="shared" si="3"/>
        <v>-3333.5616288272263</v>
      </c>
      <c r="E59" s="479">
        <f t="shared" si="1"/>
        <v>-253851.84265306618</v>
      </c>
      <c r="F59" s="480">
        <f t="shared" si="4"/>
        <v>3587.7899999999695</v>
      </c>
    </row>
    <row r="60" spans="1:6">
      <c r="A60" s="476">
        <f t="shared" si="5"/>
        <v>52</v>
      </c>
      <c r="B60" s="477">
        <f t="shared" si="2"/>
        <v>3587.7899999999695</v>
      </c>
      <c r="C60" s="478">
        <f t="shared" si="0"/>
        <v>7014.7898758163628</v>
      </c>
      <c r="D60" s="478">
        <f t="shared" si="3"/>
        <v>-3426.9998758163933</v>
      </c>
      <c r="E60" s="479">
        <f t="shared" si="1"/>
        <v>-260866.63252888253</v>
      </c>
      <c r="F60" s="480">
        <f t="shared" si="4"/>
        <v>3587.7899999999695</v>
      </c>
    </row>
    <row r="61" spans="1:6">
      <c r="A61" s="476">
        <f t="shared" si="5"/>
        <v>53</v>
      </c>
      <c r="B61" s="477">
        <f t="shared" si="2"/>
        <v>3587.7899999999695</v>
      </c>
      <c r="C61" s="478">
        <f t="shared" si="0"/>
        <v>7109.4895391398841</v>
      </c>
      <c r="D61" s="478">
        <f t="shared" si="3"/>
        <v>-3521.6995391399141</v>
      </c>
      <c r="E61" s="479">
        <f t="shared" si="1"/>
        <v>-267976.12206802244</v>
      </c>
      <c r="F61" s="480">
        <f t="shared" si="4"/>
        <v>3587.78999999997</v>
      </c>
    </row>
    <row r="62" spans="1:6">
      <c r="A62" s="476">
        <f t="shared" si="5"/>
        <v>54</v>
      </c>
      <c r="B62" s="477">
        <f t="shared" si="2"/>
        <v>3587.7899999999695</v>
      </c>
      <c r="C62" s="478">
        <f t="shared" si="0"/>
        <v>7205.4676479182726</v>
      </c>
      <c r="D62" s="478">
        <f t="shared" si="3"/>
        <v>-3617.6776479183027</v>
      </c>
      <c r="E62" s="479">
        <f t="shared" si="1"/>
        <v>-275181.5897159407</v>
      </c>
      <c r="F62" s="480">
        <f t="shared" si="4"/>
        <v>3587.78999999997</v>
      </c>
    </row>
    <row r="63" spans="1:6">
      <c r="A63" s="476">
        <f t="shared" si="5"/>
        <v>55</v>
      </c>
      <c r="B63" s="477">
        <f t="shared" si="2"/>
        <v>3587.7899999999695</v>
      </c>
      <c r="C63" s="478">
        <f t="shared" si="0"/>
        <v>7302.7414611651693</v>
      </c>
      <c r="D63" s="478">
        <f t="shared" si="3"/>
        <v>-3714.9514611651994</v>
      </c>
      <c r="E63" s="479">
        <f t="shared" si="1"/>
        <v>-282484.33117710589</v>
      </c>
      <c r="F63" s="480">
        <f t="shared" si="4"/>
        <v>3587.78999999997</v>
      </c>
    </row>
    <row r="64" spans="1:6">
      <c r="A64" s="476">
        <f t="shared" si="5"/>
        <v>56</v>
      </c>
      <c r="B64" s="477">
        <f t="shared" si="2"/>
        <v>3587.7899999999695</v>
      </c>
      <c r="C64" s="478">
        <f t="shared" si="0"/>
        <v>7401.3284708908996</v>
      </c>
      <c r="D64" s="478">
        <f t="shared" si="3"/>
        <v>-3813.5384708909296</v>
      </c>
      <c r="E64" s="479">
        <f t="shared" si="1"/>
        <v>-289885.65964799677</v>
      </c>
      <c r="F64" s="480">
        <f t="shared" si="4"/>
        <v>3587.78999999997</v>
      </c>
    </row>
    <row r="65" spans="1:6">
      <c r="A65" s="476">
        <f t="shared" si="5"/>
        <v>57</v>
      </c>
      <c r="B65" s="477">
        <f t="shared" si="2"/>
        <v>3587.7899999999695</v>
      </c>
      <c r="C65" s="478">
        <f t="shared" si="0"/>
        <v>7501.2464052479263</v>
      </c>
      <c r="D65" s="478">
        <f t="shared" si="3"/>
        <v>-3913.4564052479564</v>
      </c>
      <c r="E65" s="479">
        <f t="shared" si="1"/>
        <v>-297386.90605324472</v>
      </c>
      <c r="F65" s="480">
        <f t="shared" si="4"/>
        <v>3587.78999999997</v>
      </c>
    </row>
    <row r="66" spans="1:6">
      <c r="A66" s="476">
        <f t="shared" si="5"/>
        <v>58</v>
      </c>
      <c r="B66" s="477">
        <f t="shared" si="2"/>
        <v>3587.7899999999695</v>
      </c>
      <c r="C66" s="478">
        <f t="shared" si="0"/>
        <v>7602.5132317187727</v>
      </c>
      <c r="D66" s="478">
        <f t="shared" si="3"/>
        <v>-4014.7232317188036</v>
      </c>
      <c r="E66" s="479">
        <f t="shared" si="1"/>
        <v>-304989.41928496351</v>
      </c>
      <c r="F66" s="480">
        <f t="shared" si="4"/>
        <v>3587.789999999969</v>
      </c>
    </row>
    <row r="67" spans="1:6">
      <c r="A67" s="476">
        <f t="shared" si="5"/>
        <v>59</v>
      </c>
      <c r="B67" s="477">
        <f t="shared" si="2"/>
        <v>3587.7899999999695</v>
      </c>
      <c r="C67" s="478">
        <f t="shared" si="0"/>
        <v>7705.1471603469763</v>
      </c>
      <c r="D67" s="478">
        <f t="shared" si="3"/>
        <v>-4117.3571603470073</v>
      </c>
      <c r="E67" s="479">
        <f t="shared" si="1"/>
        <v>-312694.56644531048</v>
      </c>
      <c r="F67" s="480">
        <f t="shared" si="4"/>
        <v>3587.789999999969</v>
      </c>
    </row>
    <row r="68" spans="1:6" ht="13.5" thickBot="1">
      <c r="A68" s="481">
        <f t="shared" si="5"/>
        <v>60</v>
      </c>
      <c r="B68" s="482">
        <f t="shared" si="2"/>
        <v>3587.7899999999695</v>
      </c>
      <c r="C68" s="483">
        <f t="shared" si="0"/>
        <v>7809.1666470116616</v>
      </c>
      <c r="D68" s="483">
        <f t="shared" si="3"/>
        <v>-4221.3766470116916</v>
      </c>
      <c r="E68" s="484">
        <f t="shared" si="1"/>
        <v>-320503.73309232213</v>
      </c>
      <c r="F68" s="480">
        <f t="shared" si="4"/>
        <v>3587.78999999997</v>
      </c>
    </row>
    <row r="69" spans="1:6">
      <c r="A69" s="485">
        <f t="shared" si="5"/>
        <v>61</v>
      </c>
      <c r="B69" s="486">
        <f t="shared" si="2"/>
        <v>3587.7899999999695</v>
      </c>
      <c r="C69" s="446">
        <f t="shared" si="0"/>
        <v>7914.5903967463182</v>
      </c>
      <c r="D69" s="446">
        <f t="shared" si="3"/>
        <v>-4326.8003967463483</v>
      </c>
      <c r="E69" s="446">
        <f t="shared" si="1"/>
        <v>-328418.32348906843</v>
      </c>
      <c r="F69" s="446">
        <f t="shared" si="4"/>
        <v>3587.78999999997</v>
      </c>
    </row>
    <row r="70" spans="1:6">
      <c r="A70" s="485">
        <f t="shared" si="5"/>
        <v>62</v>
      </c>
      <c r="B70" s="486">
        <f t="shared" si="2"/>
        <v>3587.7899999999695</v>
      </c>
      <c r="C70" s="446">
        <f t="shared" si="0"/>
        <v>8021.4373671023932</v>
      </c>
      <c r="D70" s="446">
        <f t="shared" si="3"/>
        <v>-4433.6473671024241</v>
      </c>
      <c r="E70" s="446">
        <f t="shared" si="1"/>
        <v>-336439.76085617079</v>
      </c>
      <c r="F70" s="446">
        <f t="shared" si="4"/>
        <v>3587.789999999969</v>
      </c>
    </row>
    <row r="71" spans="1:6">
      <c r="A71" s="485">
        <f t="shared" si="5"/>
        <v>63</v>
      </c>
      <c r="B71" s="486">
        <f t="shared" si="2"/>
        <v>3587.7899999999695</v>
      </c>
      <c r="C71" s="446">
        <f t="shared" si="0"/>
        <v>8129.7267715582748</v>
      </c>
      <c r="D71" s="446">
        <f t="shared" si="3"/>
        <v>-4541.9367715583057</v>
      </c>
      <c r="E71" s="446">
        <f t="shared" si="1"/>
        <v>-344569.48762772908</v>
      </c>
      <c r="F71" s="446">
        <f t="shared" si="4"/>
        <v>3587.789999999969</v>
      </c>
    </row>
    <row r="72" spans="1:6">
      <c r="A72" s="485">
        <f t="shared" si="5"/>
        <v>64</v>
      </c>
      <c r="B72" s="486">
        <f t="shared" si="2"/>
        <v>3587.7899999999695</v>
      </c>
      <c r="C72" s="446">
        <f t="shared" si="0"/>
        <v>8239.4780829743122</v>
      </c>
      <c r="D72" s="446">
        <f t="shared" si="3"/>
        <v>-4651.6880829743423</v>
      </c>
      <c r="E72" s="446">
        <f t="shared" si="1"/>
        <v>-352808.9657107034</v>
      </c>
      <c r="F72" s="446">
        <f t="shared" si="4"/>
        <v>3587.78999999997</v>
      </c>
    </row>
    <row r="73" spans="1:6">
      <c r="A73" s="485">
        <f t="shared" si="5"/>
        <v>65</v>
      </c>
      <c r="B73" s="486">
        <f t="shared" si="2"/>
        <v>3587.7899999999695</v>
      </c>
      <c r="C73" s="446">
        <f t="shared" ref="C73:C136" si="6">+B73-D73</f>
        <v>8350.7110370944647</v>
      </c>
      <c r="D73" s="446">
        <f t="shared" si="3"/>
        <v>-4762.9210370944957</v>
      </c>
      <c r="E73" s="446">
        <f t="shared" ref="E73:E136" si="7">+E72-C73</f>
        <v>-361159.67674779787</v>
      </c>
      <c r="F73" s="446">
        <f t="shared" si="4"/>
        <v>3587.789999999969</v>
      </c>
    </row>
    <row r="74" spans="1:6">
      <c r="A74" s="485">
        <f t="shared" si="5"/>
        <v>66</v>
      </c>
      <c r="B74" s="486">
        <f t="shared" ref="B74:B137" si="8">+($B$2*($B$3/12))/(1-(1+($B$3/12))^-($B$4))</f>
        <v>3587.7899999999695</v>
      </c>
      <c r="C74" s="446">
        <f t="shared" si="6"/>
        <v>8463.4456360952408</v>
      </c>
      <c r="D74" s="446">
        <f t="shared" ref="D74:D137" si="9">+E73*($B$3/12)</f>
        <v>-4875.6556360952709</v>
      </c>
      <c r="E74" s="446">
        <f t="shared" si="7"/>
        <v>-369623.12238389312</v>
      </c>
      <c r="F74" s="446">
        <f t="shared" ref="F74:F137" si="10">(C74+D74)+$B$5</f>
        <v>3587.78999999997</v>
      </c>
    </row>
    <row r="75" spans="1:6">
      <c r="A75" s="485">
        <f t="shared" ref="A75:A138" si="11">+A74+1</f>
        <v>67</v>
      </c>
      <c r="B75" s="486">
        <f t="shared" si="8"/>
        <v>3587.7899999999695</v>
      </c>
      <c r="C75" s="446">
        <f t="shared" si="6"/>
        <v>8577.7021521825263</v>
      </c>
      <c r="D75" s="446">
        <f t="shared" si="9"/>
        <v>-4989.9121521825573</v>
      </c>
      <c r="E75" s="446">
        <f t="shared" si="7"/>
        <v>-378200.82453607564</v>
      </c>
      <c r="F75" s="446">
        <f t="shared" si="10"/>
        <v>3587.789999999969</v>
      </c>
    </row>
    <row r="76" spans="1:6">
      <c r="A76" s="485">
        <f t="shared" si="11"/>
        <v>68</v>
      </c>
      <c r="B76" s="486">
        <f t="shared" si="8"/>
        <v>3587.7899999999695</v>
      </c>
      <c r="C76" s="446">
        <f t="shared" si="6"/>
        <v>8693.5011312369897</v>
      </c>
      <c r="D76" s="446">
        <f t="shared" si="9"/>
        <v>-5105.7111312370207</v>
      </c>
      <c r="E76" s="446">
        <f t="shared" si="7"/>
        <v>-386894.3256673126</v>
      </c>
      <c r="F76" s="446">
        <f t="shared" si="10"/>
        <v>3587.789999999969</v>
      </c>
    </row>
    <row r="77" spans="1:6">
      <c r="A77" s="485">
        <f t="shared" si="11"/>
        <v>69</v>
      </c>
      <c r="B77" s="486">
        <f t="shared" si="8"/>
        <v>3587.7899999999695</v>
      </c>
      <c r="C77" s="446">
        <f t="shared" si="6"/>
        <v>8810.8633965086901</v>
      </c>
      <c r="D77" s="446">
        <f t="shared" si="9"/>
        <v>-5223.0733965087202</v>
      </c>
      <c r="E77" s="446">
        <f t="shared" si="7"/>
        <v>-395705.18906382128</v>
      </c>
      <c r="F77" s="446">
        <f t="shared" si="10"/>
        <v>3587.78999999997</v>
      </c>
    </row>
    <row r="78" spans="1:6">
      <c r="A78" s="485">
        <f t="shared" si="11"/>
        <v>70</v>
      </c>
      <c r="B78" s="486">
        <f t="shared" si="8"/>
        <v>3587.7899999999695</v>
      </c>
      <c r="C78" s="446">
        <f t="shared" si="6"/>
        <v>8929.8100523615576</v>
      </c>
      <c r="D78" s="446">
        <f t="shared" si="9"/>
        <v>-5342.0200523615877</v>
      </c>
      <c r="E78" s="446">
        <f t="shared" si="7"/>
        <v>-404634.99911618285</v>
      </c>
      <c r="F78" s="446">
        <f t="shared" si="10"/>
        <v>3587.78999999997</v>
      </c>
    </row>
    <row r="79" spans="1:6">
      <c r="A79" s="485">
        <f t="shared" si="11"/>
        <v>71</v>
      </c>
      <c r="B79" s="486">
        <f t="shared" si="8"/>
        <v>3587.7899999999695</v>
      </c>
      <c r="C79" s="446">
        <f t="shared" si="6"/>
        <v>9050.3624880684383</v>
      </c>
      <c r="D79" s="446">
        <f t="shared" si="9"/>
        <v>-5462.5724880684684</v>
      </c>
      <c r="E79" s="446">
        <f t="shared" si="7"/>
        <v>-413685.36160425132</v>
      </c>
      <c r="F79" s="446">
        <f t="shared" si="10"/>
        <v>3587.78999999997</v>
      </c>
    </row>
    <row r="80" spans="1:6">
      <c r="A80" s="485">
        <f t="shared" si="11"/>
        <v>72</v>
      </c>
      <c r="B80" s="486">
        <f t="shared" si="8"/>
        <v>3587.7899999999695</v>
      </c>
      <c r="C80" s="446">
        <f t="shared" si="6"/>
        <v>9172.5423816573621</v>
      </c>
      <c r="D80" s="446">
        <f t="shared" si="9"/>
        <v>-5584.752381657393</v>
      </c>
      <c r="E80" s="446">
        <f t="shared" si="7"/>
        <v>-422857.90398590866</v>
      </c>
      <c r="F80" s="446">
        <f t="shared" si="10"/>
        <v>3587.789999999969</v>
      </c>
    </row>
    <row r="81" spans="1:6">
      <c r="A81" s="485">
        <f t="shared" si="11"/>
        <v>73</v>
      </c>
      <c r="B81" s="486">
        <f t="shared" si="8"/>
        <v>3587.7899999999695</v>
      </c>
      <c r="C81" s="446">
        <f t="shared" si="6"/>
        <v>9296.3717038097366</v>
      </c>
      <c r="D81" s="446">
        <f t="shared" si="9"/>
        <v>-5708.5817038097666</v>
      </c>
      <c r="E81" s="446">
        <f t="shared" si="7"/>
        <v>-432154.27568971837</v>
      </c>
      <c r="F81" s="446">
        <f t="shared" si="10"/>
        <v>3587.78999999997</v>
      </c>
    </row>
    <row r="82" spans="1:6">
      <c r="A82" s="485">
        <f t="shared" si="11"/>
        <v>74</v>
      </c>
      <c r="B82" s="486">
        <f t="shared" si="8"/>
        <v>3587.7899999999695</v>
      </c>
      <c r="C82" s="446">
        <f t="shared" si="6"/>
        <v>9421.8727218111671</v>
      </c>
      <c r="D82" s="446">
        <f t="shared" si="9"/>
        <v>-5834.0827218111981</v>
      </c>
      <c r="E82" s="446">
        <f t="shared" si="7"/>
        <v>-441576.14841152955</v>
      </c>
      <c r="F82" s="446">
        <f t="shared" si="10"/>
        <v>3587.789999999969</v>
      </c>
    </row>
    <row r="83" spans="1:6">
      <c r="A83" s="485">
        <f t="shared" si="11"/>
        <v>75</v>
      </c>
      <c r="B83" s="486">
        <f t="shared" si="8"/>
        <v>3587.7899999999695</v>
      </c>
      <c r="C83" s="446">
        <f t="shared" si="6"/>
        <v>9549.0680035556179</v>
      </c>
      <c r="D83" s="446">
        <f t="shared" si="9"/>
        <v>-5961.2780035556489</v>
      </c>
      <c r="E83" s="446">
        <f t="shared" si="7"/>
        <v>-451125.21641508519</v>
      </c>
      <c r="F83" s="446">
        <f t="shared" si="10"/>
        <v>3587.789999999969</v>
      </c>
    </row>
    <row r="84" spans="1:6">
      <c r="A84" s="485">
        <f t="shared" si="11"/>
        <v>76</v>
      </c>
      <c r="B84" s="486">
        <f t="shared" si="8"/>
        <v>3587.7899999999695</v>
      </c>
      <c r="C84" s="446">
        <f t="shared" si="6"/>
        <v>9677.9804216036191</v>
      </c>
      <c r="D84" s="446">
        <f t="shared" si="9"/>
        <v>-6090.1904216036501</v>
      </c>
      <c r="E84" s="446">
        <f t="shared" si="7"/>
        <v>-460803.19683668879</v>
      </c>
      <c r="F84" s="446">
        <f t="shared" si="10"/>
        <v>3587.789999999969</v>
      </c>
    </row>
    <row r="85" spans="1:6">
      <c r="A85" s="485">
        <f t="shared" si="11"/>
        <v>77</v>
      </c>
      <c r="B85" s="486">
        <f t="shared" si="8"/>
        <v>3587.7899999999695</v>
      </c>
      <c r="C85" s="446">
        <f t="shared" si="6"/>
        <v>9808.6331572952677</v>
      </c>
      <c r="D85" s="446">
        <f t="shared" si="9"/>
        <v>-6220.8431572952986</v>
      </c>
      <c r="E85" s="446">
        <f t="shared" si="7"/>
        <v>-470611.82999398408</v>
      </c>
      <c r="F85" s="446">
        <f t="shared" si="10"/>
        <v>3587.789999999969</v>
      </c>
    </row>
    <row r="86" spans="1:6">
      <c r="A86" s="485">
        <f t="shared" si="11"/>
        <v>78</v>
      </c>
      <c r="B86" s="486">
        <f t="shared" si="8"/>
        <v>3587.7899999999695</v>
      </c>
      <c r="C86" s="446">
        <f t="shared" si="6"/>
        <v>9941.0497049187543</v>
      </c>
      <c r="D86" s="446">
        <f t="shared" si="9"/>
        <v>-6353.2597049187852</v>
      </c>
      <c r="E86" s="446">
        <f t="shared" si="7"/>
        <v>-480552.87969890283</v>
      </c>
      <c r="F86" s="446">
        <f t="shared" si="10"/>
        <v>3587.789999999969</v>
      </c>
    </row>
    <row r="87" spans="1:6">
      <c r="A87" s="485">
        <f t="shared" si="11"/>
        <v>79</v>
      </c>
      <c r="B87" s="486">
        <f t="shared" si="8"/>
        <v>3587.7899999999695</v>
      </c>
      <c r="C87" s="446">
        <f t="shared" si="6"/>
        <v>10075.253875935157</v>
      </c>
      <c r="D87" s="446">
        <f t="shared" si="9"/>
        <v>-6487.4638759351883</v>
      </c>
      <c r="E87" s="446">
        <f t="shared" si="7"/>
        <v>-490628.13357483799</v>
      </c>
      <c r="F87" s="446">
        <f t="shared" si="10"/>
        <v>3587.789999999969</v>
      </c>
    </row>
    <row r="88" spans="1:6">
      <c r="A88" s="485">
        <f t="shared" si="11"/>
        <v>80</v>
      </c>
      <c r="B88" s="486">
        <f t="shared" si="8"/>
        <v>3587.7899999999695</v>
      </c>
      <c r="C88" s="446">
        <f t="shared" si="6"/>
        <v>10211.269803260282</v>
      </c>
      <c r="D88" s="446">
        <f t="shared" si="9"/>
        <v>-6623.479803260313</v>
      </c>
      <c r="E88" s="446">
        <f t="shared" si="7"/>
        <v>-500839.40337809827</v>
      </c>
      <c r="F88" s="446">
        <f t="shared" si="10"/>
        <v>3587.789999999969</v>
      </c>
    </row>
    <row r="89" spans="1:6">
      <c r="A89" s="485">
        <f t="shared" si="11"/>
        <v>81</v>
      </c>
      <c r="B89" s="486">
        <f t="shared" si="8"/>
        <v>3587.7899999999695</v>
      </c>
      <c r="C89" s="446">
        <f t="shared" si="6"/>
        <v>10349.121945604296</v>
      </c>
      <c r="D89" s="446">
        <f t="shared" si="9"/>
        <v>-6761.3319456043264</v>
      </c>
      <c r="E89" s="446">
        <f t="shared" si="7"/>
        <v>-511188.52532370255</v>
      </c>
      <c r="F89" s="446">
        <f t="shared" si="10"/>
        <v>3587.78999999997</v>
      </c>
    </row>
    <row r="90" spans="1:6">
      <c r="A90" s="485">
        <f t="shared" si="11"/>
        <v>82</v>
      </c>
      <c r="B90" s="486">
        <f t="shared" si="8"/>
        <v>3587.7899999999695</v>
      </c>
      <c r="C90" s="446">
        <f t="shared" si="6"/>
        <v>10488.835091869954</v>
      </c>
      <c r="D90" s="446">
        <f t="shared" si="9"/>
        <v>-6901.0450918699844</v>
      </c>
      <c r="E90" s="446">
        <f t="shared" si="7"/>
        <v>-521677.36041557248</v>
      </c>
      <c r="F90" s="446">
        <f t="shared" si="10"/>
        <v>3587.78999999997</v>
      </c>
    </row>
    <row r="91" spans="1:6">
      <c r="A91" s="485">
        <f t="shared" si="11"/>
        <v>83</v>
      </c>
      <c r="B91" s="486">
        <f t="shared" si="8"/>
        <v>3587.7899999999695</v>
      </c>
      <c r="C91" s="446">
        <f t="shared" si="6"/>
        <v>10630.434365610197</v>
      </c>
      <c r="D91" s="446">
        <f t="shared" si="9"/>
        <v>-7042.6443656102283</v>
      </c>
      <c r="E91" s="446">
        <f t="shared" si="7"/>
        <v>-532307.79478118266</v>
      </c>
      <c r="F91" s="446">
        <f t="shared" si="10"/>
        <v>3587.789999999969</v>
      </c>
    </row>
    <row r="92" spans="1:6">
      <c r="A92" s="485">
        <f t="shared" si="11"/>
        <v>84</v>
      </c>
      <c r="B92" s="486">
        <f t="shared" si="8"/>
        <v>3587.7899999999695</v>
      </c>
      <c r="C92" s="446">
        <f t="shared" si="6"/>
        <v>10773.945229545936</v>
      </c>
      <c r="D92" s="446">
        <f t="shared" si="9"/>
        <v>-7186.155229545966</v>
      </c>
      <c r="E92" s="446">
        <f t="shared" si="7"/>
        <v>-543081.74001072859</v>
      </c>
      <c r="F92" s="446">
        <f t="shared" si="10"/>
        <v>3587.78999999997</v>
      </c>
    </row>
    <row r="93" spans="1:6">
      <c r="A93" s="485">
        <f t="shared" si="11"/>
        <v>85</v>
      </c>
      <c r="B93" s="486">
        <f t="shared" si="8"/>
        <v>3587.7899999999695</v>
      </c>
      <c r="C93" s="446">
        <f t="shared" si="6"/>
        <v>10919.393490144805</v>
      </c>
      <c r="D93" s="446">
        <f t="shared" si="9"/>
        <v>-7331.6034901448356</v>
      </c>
      <c r="E93" s="446">
        <f t="shared" si="7"/>
        <v>-554001.13350087334</v>
      </c>
      <c r="F93" s="446">
        <f t="shared" si="10"/>
        <v>3587.789999999969</v>
      </c>
    </row>
    <row r="94" spans="1:6">
      <c r="A94" s="485">
        <f t="shared" si="11"/>
        <v>86</v>
      </c>
      <c r="B94" s="486">
        <f t="shared" si="8"/>
        <v>3587.7899999999695</v>
      </c>
      <c r="C94" s="446">
        <f t="shared" si="6"/>
        <v>11066.805302261759</v>
      </c>
      <c r="D94" s="446">
        <f t="shared" si="9"/>
        <v>-7479.0153022617897</v>
      </c>
      <c r="E94" s="446">
        <f t="shared" si="7"/>
        <v>-565067.93880313507</v>
      </c>
      <c r="F94" s="446">
        <f t="shared" si="10"/>
        <v>3587.789999999969</v>
      </c>
    </row>
    <row r="95" spans="1:6">
      <c r="A95" s="485">
        <f t="shared" si="11"/>
        <v>87</v>
      </c>
      <c r="B95" s="486">
        <f t="shared" si="8"/>
        <v>3587.7899999999695</v>
      </c>
      <c r="C95" s="446">
        <f t="shared" si="6"/>
        <v>11216.207173842293</v>
      </c>
      <c r="D95" s="446">
        <f t="shared" si="9"/>
        <v>-7628.4171738423229</v>
      </c>
      <c r="E95" s="446">
        <f t="shared" si="7"/>
        <v>-576284.14597697731</v>
      </c>
      <c r="F95" s="446">
        <f t="shared" si="10"/>
        <v>3587.78999999997</v>
      </c>
    </row>
    <row r="96" spans="1:6">
      <c r="A96" s="485">
        <f t="shared" si="11"/>
        <v>88</v>
      </c>
      <c r="B96" s="486">
        <f t="shared" si="8"/>
        <v>3587.7899999999695</v>
      </c>
      <c r="C96" s="446">
        <f t="shared" si="6"/>
        <v>11367.625970689163</v>
      </c>
      <c r="D96" s="446">
        <f t="shared" si="9"/>
        <v>-7779.8359706891933</v>
      </c>
      <c r="E96" s="446">
        <f t="shared" si="7"/>
        <v>-587651.77194766642</v>
      </c>
      <c r="F96" s="446">
        <f t="shared" si="10"/>
        <v>3587.78999999997</v>
      </c>
    </row>
    <row r="97" spans="1:6">
      <c r="A97" s="485">
        <f t="shared" si="11"/>
        <v>89</v>
      </c>
      <c r="B97" s="486">
        <f t="shared" si="8"/>
        <v>3587.7899999999695</v>
      </c>
      <c r="C97" s="446">
        <f t="shared" si="6"/>
        <v>11521.088921293465</v>
      </c>
      <c r="D97" s="446">
        <f t="shared" si="9"/>
        <v>-7933.2989212934963</v>
      </c>
      <c r="E97" s="446">
        <f t="shared" si="7"/>
        <v>-599172.86086895992</v>
      </c>
      <c r="F97" s="446">
        <f t="shared" si="10"/>
        <v>3587.789999999969</v>
      </c>
    </row>
    <row r="98" spans="1:6">
      <c r="A98" s="485">
        <f t="shared" si="11"/>
        <v>90</v>
      </c>
      <c r="B98" s="486">
        <f t="shared" si="8"/>
        <v>3587.7899999999695</v>
      </c>
      <c r="C98" s="446">
        <f t="shared" si="6"/>
        <v>11676.623621730929</v>
      </c>
      <c r="D98" s="446">
        <f t="shared" si="9"/>
        <v>-8088.8336217309588</v>
      </c>
      <c r="E98" s="446">
        <f t="shared" si="7"/>
        <v>-610849.48449069087</v>
      </c>
      <c r="F98" s="446">
        <f t="shared" si="10"/>
        <v>3587.78999999997</v>
      </c>
    </row>
    <row r="99" spans="1:6">
      <c r="A99" s="485">
        <f t="shared" si="11"/>
        <v>91</v>
      </c>
      <c r="B99" s="486">
        <f t="shared" si="8"/>
        <v>3587.7899999999695</v>
      </c>
      <c r="C99" s="446">
        <f t="shared" si="6"/>
        <v>11834.258040624296</v>
      </c>
      <c r="D99" s="446">
        <f t="shared" si="9"/>
        <v>-8246.468040624326</v>
      </c>
      <c r="E99" s="446">
        <f t="shared" si="7"/>
        <v>-622683.74253131519</v>
      </c>
      <c r="F99" s="446">
        <f t="shared" si="10"/>
        <v>3587.78999999997</v>
      </c>
    </row>
    <row r="100" spans="1:6">
      <c r="A100" s="485">
        <f t="shared" si="11"/>
        <v>92</v>
      </c>
      <c r="B100" s="486">
        <f t="shared" si="8"/>
        <v>3587.7899999999695</v>
      </c>
      <c r="C100" s="446">
        <f t="shared" si="6"/>
        <v>11994.020524172725</v>
      </c>
      <c r="D100" s="446">
        <f t="shared" si="9"/>
        <v>-8406.2305241727554</v>
      </c>
      <c r="E100" s="446">
        <f t="shared" si="7"/>
        <v>-634677.76305548789</v>
      </c>
      <c r="F100" s="446">
        <f t="shared" si="10"/>
        <v>3587.78999999997</v>
      </c>
    </row>
    <row r="101" spans="1:6">
      <c r="A101" s="485">
        <f t="shared" si="11"/>
        <v>93</v>
      </c>
      <c r="B101" s="486">
        <f t="shared" si="8"/>
        <v>3587.7899999999695</v>
      </c>
      <c r="C101" s="446">
        <f t="shared" si="6"/>
        <v>12155.939801249056</v>
      </c>
      <c r="D101" s="446">
        <f t="shared" si="9"/>
        <v>-8568.1498012490865</v>
      </c>
      <c r="E101" s="446">
        <f t="shared" si="7"/>
        <v>-646833.70285673696</v>
      </c>
      <c r="F101" s="446">
        <f t="shared" si="10"/>
        <v>3587.78999999997</v>
      </c>
    </row>
    <row r="102" spans="1:6">
      <c r="A102" s="485">
        <f t="shared" si="11"/>
        <v>94</v>
      </c>
      <c r="B102" s="486">
        <f t="shared" si="8"/>
        <v>3587.7899999999695</v>
      </c>
      <c r="C102" s="446">
        <f t="shared" si="6"/>
        <v>12320.044988565918</v>
      </c>
      <c r="D102" s="446">
        <f t="shared" si="9"/>
        <v>-8732.2549885659482</v>
      </c>
      <c r="E102" s="446">
        <f t="shared" si="7"/>
        <v>-659153.74784530292</v>
      </c>
      <c r="F102" s="446">
        <f t="shared" si="10"/>
        <v>3587.78999999997</v>
      </c>
    </row>
    <row r="103" spans="1:6">
      <c r="A103" s="485">
        <f t="shared" si="11"/>
        <v>95</v>
      </c>
      <c r="B103" s="486">
        <f t="shared" si="8"/>
        <v>3587.7899999999695</v>
      </c>
      <c r="C103" s="446">
        <f t="shared" si="6"/>
        <v>12486.365595911559</v>
      </c>
      <c r="D103" s="446">
        <f t="shared" si="9"/>
        <v>-8898.5755959115886</v>
      </c>
      <c r="E103" s="446">
        <f t="shared" si="7"/>
        <v>-671640.11344121443</v>
      </c>
      <c r="F103" s="446">
        <f t="shared" si="10"/>
        <v>3587.78999999997</v>
      </c>
    </row>
    <row r="104" spans="1:6">
      <c r="A104" s="485">
        <f t="shared" si="11"/>
        <v>96</v>
      </c>
      <c r="B104" s="486">
        <f t="shared" si="8"/>
        <v>3587.7899999999695</v>
      </c>
      <c r="C104" s="446">
        <f t="shared" si="6"/>
        <v>12654.931531456365</v>
      </c>
      <c r="D104" s="446">
        <f t="shared" si="9"/>
        <v>-9067.1415314563947</v>
      </c>
      <c r="E104" s="446">
        <f t="shared" si="7"/>
        <v>-684295.04497267085</v>
      </c>
      <c r="F104" s="446">
        <f t="shared" si="10"/>
        <v>3587.78999999997</v>
      </c>
    </row>
    <row r="105" spans="1:6">
      <c r="A105" s="485">
        <f t="shared" si="11"/>
        <v>97</v>
      </c>
      <c r="B105" s="486">
        <f t="shared" si="8"/>
        <v>3587.7899999999695</v>
      </c>
      <c r="C105" s="446">
        <f t="shared" si="6"/>
        <v>12825.773107131026</v>
      </c>
      <c r="D105" s="446">
        <f t="shared" si="9"/>
        <v>-9237.9831071310564</v>
      </c>
      <c r="E105" s="446">
        <f t="shared" si="7"/>
        <v>-697120.81807980186</v>
      </c>
      <c r="F105" s="446">
        <f t="shared" si="10"/>
        <v>3587.78999999997</v>
      </c>
    </row>
    <row r="106" spans="1:6">
      <c r="A106" s="485">
        <f t="shared" si="11"/>
        <v>98</v>
      </c>
      <c r="B106" s="486">
        <f t="shared" si="8"/>
        <v>3587.7899999999695</v>
      </c>
      <c r="C106" s="446">
        <f t="shared" si="6"/>
        <v>12998.921044077295</v>
      </c>
      <c r="D106" s="446">
        <f t="shared" si="9"/>
        <v>-9411.131044077325</v>
      </c>
      <c r="E106" s="446">
        <f t="shared" si="7"/>
        <v>-710119.73912387912</v>
      </c>
      <c r="F106" s="446">
        <f t="shared" si="10"/>
        <v>3587.78999999997</v>
      </c>
    </row>
    <row r="107" spans="1:6">
      <c r="A107" s="485">
        <f t="shared" si="11"/>
        <v>99</v>
      </c>
      <c r="B107" s="486">
        <f t="shared" si="8"/>
        <v>3587.7899999999695</v>
      </c>
      <c r="C107" s="446">
        <f t="shared" si="6"/>
        <v>13174.406478172337</v>
      </c>
      <c r="D107" s="446">
        <f t="shared" si="9"/>
        <v>-9586.6164781723674</v>
      </c>
      <c r="E107" s="446">
        <f t="shared" si="7"/>
        <v>-723294.1456020514</v>
      </c>
      <c r="F107" s="446">
        <f t="shared" si="10"/>
        <v>3587.78999999997</v>
      </c>
    </row>
    <row r="108" spans="1:6">
      <c r="A108" s="485">
        <f t="shared" si="11"/>
        <v>100</v>
      </c>
      <c r="B108" s="486">
        <f t="shared" si="8"/>
        <v>3587.7899999999695</v>
      </c>
      <c r="C108" s="446">
        <f t="shared" si="6"/>
        <v>13352.260965627664</v>
      </c>
      <c r="D108" s="446">
        <f t="shared" si="9"/>
        <v>-9764.4709656276937</v>
      </c>
      <c r="E108" s="446">
        <f t="shared" si="7"/>
        <v>-736646.40656767902</v>
      </c>
      <c r="F108" s="446">
        <f t="shared" si="10"/>
        <v>3587.78999999997</v>
      </c>
    </row>
    <row r="109" spans="1:6">
      <c r="A109" s="485">
        <f t="shared" si="11"/>
        <v>101</v>
      </c>
      <c r="B109" s="486">
        <f t="shared" si="8"/>
        <v>3587.7899999999695</v>
      </c>
      <c r="C109" s="446">
        <f t="shared" si="6"/>
        <v>13532.516488663636</v>
      </c>
      <c r="D109" s="446">
        <f t="shared" si="9"/>
        <v>-9944.7264886636658</v>
      </c>
      <c r="E109" s="446">
        <f t="shared" si="7"/>
        <v>-750178.92305634264</v>
      </c>
      <c r="F109" s="446">
        <f t="shared" si="10"/>
        <v>3587.78999999997</v>
      </c>
    </row>
    <row r="110" spans="1:6">
      <c r="A110" s="485">
        <f t="shared" si="11"/>
        <v>102</v>
      </c>
      <c r="B110" s="486">
        <f t="shared" si="8"/>
        <v>3587.7899999999695</v>
      </c>
      <c r="C110" s="446">
        <f t="shared" si="6"/>
        <v>13715.205461260595</v>
      </c>
      <c r="D110" s="446">
        <f t="shared" si="9"/>
        <v>-10127.415461260625</v>
      </c>
      <c r="E110" s="446">
        <f t="shared" si="7"/>
        <v>-763894.12851760327</v>
      </c>
      <c r="F110" s="446">
        <f t="shared" si="10"/>
        <v>3587.78999999997</v>
      </c>
    </row>
    <row r="111" spans="1:6">
      <c r="A111" s="485">
        <f t="shared" si="11"/>
        <v>103</v>
      </c>
      <c r="B111" s="486">
        <f t="shared" si="8"/>
        <v>3587.7899999999695</v>
      </c>
      <c r="C111" s="446">
        <f t="shared" si="6"/>
        <v>13900.360734987615</v>
      </c>
      <c r="D111" s="446">
        <f t="shared" si="9"/>
        <v>-10312.570734987645</v>
      </c>
      <c r="E111" s="446">
        <f t="shared" si="7"/>
        <v>-777794.48925259092</v>
      </c>
      <c r="F111" s="446">
        <f t="shared" si="10"/>
        <v>3587.78999999997</v>
      </c>
    </row>
    <row r="112" spans="1:6">
      <c r="A112" s="485">
        <f t="shared" si="11"/>
        <v>104</v>
      </c>
      <c r="B112" s="486">
        <f t="shared" si="8"/>
        <v>3587.7899999999695</v>
      </c>
      <c r="C112" s="446">
        <f t="shared" si="6"/>
        <v>14088.015604909948</v>
      </c>
      <c r="D112" s="446">
        <f t="shared" si="9"/>
        <v>-10500.225604909978</v>
      </c>
      <c r="E112" s="446">
        <f t="shared" si="7"/>
        <v>-791882.5048575009</v>
      </c>
      <c r="F112" s="446">
        <f t="shared" si="10"/>
        <v>3587.78999999997</v>
      </c>
    </row>
    <row r="113" spans="1:6">
      <c r="A113" s="485">
        <f t="shared" si="11"/>
        <v>105</v>
      </c>
      <c r="B113" s="486">
        <f t="shared" si="8"/>
        <v>3587.7899999999695</v>
      </c>
      <c r="C113" s="446">
        <f t="shared" si="6"/>
        <v>14278.203815576231</v>
      </c>
      <c r="D113" s="446">
        <f t="shared" si="9"/>
        <v>-10690.413815576261</v>
      </c>
      <c r="E113" s="446">
        <f t="shared" si="7"/>
        <v>-806160.70867307717</v>
      </c>
      <c r="F113" s="446">
        <f t="shared" si="10"/>
        <v>3587.78999999997</v>
      </c>
    </row>
    <row r="114" spans="1:6">
      <c r="A114" s="485">
        <f t="shared" si="11"/>
        <v>106</v>
      </c>
      <c r="B114" s="486">
        <f t="shared" si="8"/>
        <v>3587.7899999999695</v>
      </c>
      <c r="C114" s="446">
        <f t="shared" si="6"/>
        <v>14470.959567086511</v>
      </c>
      <c r="D114" s="446">
        <f t="shared" si="9"/>
        <v>-10883.169567086541</v>
      </c>
      <c r="E114" s="446">
        <f t="shared" si="7"/>
        <v>-820631.66824016371</v>
      </c>
      <c r="F114" s="446">
        <f t="shared" si="10"/>
        <v>3587.78999999997</v>
      </c>
    </row>
    <row r="115" spans="1:6">
      <c r="A115" s="485">
        <f t="shared" si="11"/>
        <v>107</v>
      </c>
      <c r="B115" s="486">
        <f t="shared" si="8"/>
        <v>3587.7899999999695</v>
      </c>
      <c r="C115" s="446">
        <f t="shared" si="6"/>
        <v>14666.317521242179</v>
      </c>
      <c r="D115" s="446">
        <f t="shared" si="9"/>
        <v>-11078.527521242209</v>
      </c>
      <c r="E115" s="446">
        <f t="shared" si="7"/>
        <v>-835297.9857614059</v>
      </c>
      <c r="F115" s="446">
        <f t="shared" si="10"/>
        <v>3587.78999999997</v>
      </c>
    </row>
    <row r="116" spans="1:6">
      <c r="A116" s="485">
        <f t="shared" si="11"/>
        <v>108</v>
      </c>
      <c r="B116" s="486">
        <f t="shared" si="8"/>
        <v>3587.7899999999695</v>
      </c>
      <c r="C116" s="446">
        <f t="shared" si="6"/>
        <v>14864.31280777895</v>
      </c>
      <c r="D116" s="446">
        <f t="shared" si="9"/>
        <v>-11276.52280777898</v>
      </c>
      <c r="E116" s="446">
        <f t="shared" si="7"/>
        <v>-850162.29856918484</v>
      </c>
      <c r="F116" s="446">
        <f t="shared" si="10"/>
        <v>3587.78999999997</v>
      </c>
    </row>
    <row r="117" spans="1:6">
      <c r="A117" s="485">
        <f t="shared" si="11"/>
        <v>109</v>
      </c>
      <c r="B117" s="486">
        <f t="shared" si="8"/>
        <v>3587.7899999999695</v>
      </c>
      <c r="C117" s="446">
        <f t="shared" si="6"/>
        <v>15064.981030683964</v>
      </c>
      <c r="D117" s="446">
        <f t="shared" si="9"/>
        <v>-11477.191030683995</v>
      </c>
      <c r="E117" s="446">
        <f t="shared" si="7"/>
        <v>-865227.27959986881</v>
      </c>
      <c r="F117" s="446">
        <f t="shared" si="10"/>
        <v>3587.78999999997</v>
      </c>
    </row>
    <row r="118" spans="1:6">
      <c r="A118" s="485">
        <f t="shared" si="11"/>
        <v>110</v>
      </c>
      <c r="B118" s="486">
        <f t="shared" si="8"/>
        <v>3587.7899999999695</v>
      </c>
      <c r="C118" s="446">
        <f t="shared" si="6"/>
        <v>15268.358274598198</v>
      </c>
      <c r="D118" s="446">
        <f t="shared" si="9"/>
        <v>-11680.568274598229</v>
      </c>
      <c r="E118" s="446">
        <f t="shared" si="7"/>
        <v>-880495.63787446707</v>
      </c>
      <c r="F118" s="446">
        <f t="shared" si="10"/>
        <v>3587.78999999997</v>
      </c>
    </row>
    <row r="119" spans="1:6">
      <c r="A119" s="485">
        <f t="shared" si="11"/>
        <v>111</v>
      </c>
      <c r="B119" s="486">
        <f t="shared" si="8"/>
        <v>3587.7899999999695</v>
      </c>
      <c r="C119" s="446">
        <f t="shared" si="6"/>
        <v>15474.481111305275</v>
      </c>
      <c r="D119" s="446">
        <f t="shared" si="9"/>
        <v>-11886.691111305305</v>
      </c>
      <c r="E119" s="446">
        <f t="shared" si="7"/>
        <v>-895970.11898577237</v>
      </c>
      <c r="F119" s="446">
        <f t="shared" si="10"/>
        <v>3587.78999999997</v>
      </c>
    </row>
    <row r="120" spans="1:6">
      <c r="A120" s="485">
        <f t="shared" si="11"/>
        <v>112</v>
      </c>
      <c r="B120" s="486">
        <f t="shared" si="8"/>
        <v>3587.7899999999695</v>
      </c>
      <c r="C120" s="446">
        <f t="shared" si="6"/>
        <v>15683.386606307897</v>
      </c>
      <c r="D120" s="446">
        <f t="shared" si="9"/>
        <v>-12095.596606307927</v>
      </c>
      <c r="E120" s="446">
        <f t="shared" si="7"/>
        <v>-911653.5055920803</v>
      </c>
      <c r="F120" s="446">
        <f t="shared" si="10"/>
        <v>3587.78999999997</v>
      </c>
    </row>
    <row r="121" spans="1:6">
      <c r="A121" s="485">
        <f t="shared" si="11"/>
        <v>113</v>
      </c>
      <c r="B121" s="486">
        <f t="shared" si="8"/>
        <v>3587.7899999999695</v>
      </c>
      <c r="C121" s="446">
        <f t="shared" si="6"/>
        <v>15895.112325493054</v>
      </c>
      <c r="D121" s="446">
        <f t="shared" si="9"/>
        <v>-12307.322325493084</v>
      </c>
      <c r="E121" s="446">
        <f t="shared" si="7"/>
        <v>-927548.61791757331</v>
      </c>
      <c r="F121" s="446">
        <f t="shared" si="10"/>
        <v>3587.78999999997</v>
      </c>
    </row>
    <row r="122" spans="1:6">
      <c r="A122" s="485">
        <f t="shared" si="11"/>
        <v>114</v>
      </c>
      <c r="B122" s="486">
        <f t="shared" si="8"/>
        <v>3587.7899999999695</v>
      </c>
      <c r="C122" s="446">
        <f t="shared" si="6"/>
        <v>16109.696341887209</v>
      </c>
      <c r="D122" s="446">
        <f t="shared" si="9"/>
        <v>-12521.906341887239</v>
      </c>
      <c r="E122" s="446">
        <f t="shared" si="7"/>
        <v>-943658.31425946055</v>
      </c>
      <c r="F122" s="446">
        <f t="shared" si="10"/>
        <v>3587.78999999997</v>
      </c>
    </row>
    <row r="123" spans="1:6">
      <c r="A123" s="485">
        <f t="shared" si="11"/>
        <v>115</v>
      </c>
      <c r="B123" s="486">
        <f t="shared" si="8"/>
        <v>3587.7899999999695</v>
      </c>
      <c r="C123" s="446">
        <f t="shared" si="6"/>
        <v>16327.177242502687</v>
      </c>
      <c r="D123" s="446">
        <f t="shared" si="9"/>
        <v>-12739.387242502717</v>
      </c>
      <c r="E123" s="446">
        <f t="shared" si="7"/>
        <v>-959985.49150196323</v>
      </c>
      <c r="F123" s="446">
        <f t="shared" si="10"/>
        <v>3587.78999999997</v>
      </c>
    </row>
    <row r="124" spans="1:6">
      <c r="A124" s="485">
        <f t="shared" si="11"/>
        <v>116</v>
      </c>
      <c r="B124" s="486">
        <f t="shared" si="8"/>
        <v>3587.7899999999695</v>
      </c>
      <c r="C124" s="446">
        <f t="shared" si="6"/>
        <v>16547.594135276471</v>
      </c>
      <c r="D124" s="446">
        <f t="shared" si="9"/>
        <v>-12959.804135276503</v>
      </c>
      <c r="E124" s="446">
        <f t="shared" si="7"/>
        <v>-976533.08563723974</v>
      </c>
      <c r="F124" s="446">
        <f t="shared" si="10"/>
        <v>3587.7899999999681</v>
      </c>
    </row>
    <row r="125" spans="1:6">
      <c r="A125" s="485">
        <f t="shared" si="11"/>
        <v>117</v>
      </c>
      <c r="B125" s="486">
        <f t="shared" si="8"/>
        <v>3587.7899999999695</v>
      </c>
      <c r="C125" s="446">
        <f t="shared" si="6"/>
        <v>16770.986656102705</v>
      </c>
      <c r="D125" s="446">
        <f t="shared" si="9"/>
        <v>-13183.196656102737</v>
      </c>
      <c r="E125" s="446">
        <f t="shared" si="7"/>
        <v>-993304.07229334244</v>
      </c>
      <c r="F125" s="446">
        <f t="shared" si="10"/>
        <v>3587.7899999999681</v>
      </c>
    </row>
    <row r="126" spans="1:6">
      <c r="A126" s="485">
        <f t="shared" si="11"/>
        <v>118</v>
      </c>
      <c r="B126" s="486">
        <f t="shared" si="8"/>
        <v>3587.7899999999695</v>
      </c>
      <c r="C126" s="446">
        <f t="shared" si="6"/>
        <v>16997.394975960091</v>
      </c>
      <c r="D126" s="446">
        <f t="shared" si="9"/>
        <v>-13409.604975960123</v>
      </c>
      <c r="E126" s="446">
        <f t="shared" si="7"/>
        <v>-1010301.4672693026</v>
      </c>
      <c r="F126" s="446">
        <f t="shared" si="10"/>
        <v>3587.7899999999681</v>
      </c>
    </row>
    <row r="127" spans="1:6">
      <c r="A127" s="485">
        <f t="shared" si="11"/>
        <v>119</v>
      </c>
      <c r="B127" s="486">
        <f t="shared" si="8"/>
        <v>3587.7899999999695</v>
      </c>
      <c r="C127" s="446">
        <f t="shared" si="6"/>
        <v>17226.859808135552</v>
      </c>
      <c r="D127" s="446">
        <f t="shared" si="9"/>
        <v>-13639.069808135584</v>
      </c>
      <c r="E127" s="446">
        <f t="shared" si="7"/>
        <v>-1027528.3270774381</v>
      </c>
      <c r="F127" s="446">
        <f t="shared" si="10"/>
        <v>3587.7899999999681</v>
      </c>
    </row>
    <row r="128" spans="1:6">
      <c r="A128" s="485">
        <f t="shared" si="11"/>
        <v>120</v>
      </c>
      <c r="B128" s="486">
        <f t="shared" si="8"/>
        <v>3587.7899999999695</v>
      </c>
      <c r="C128" s="446">
        <f t="shared" si="6"/>
        <v>17459.422415545385</v>
      </c>
      <c r="D128" s="446">
        <f t="shared" si="9"/>
        <v>-13871.632415545415</v>
      </c>
      <c r="E128" s="446">
        <f t="shared" si="7"/>
        <v>-1044987.7494929836</v>
      </c>
      <c r="F128" s="446">
        <f t="shared" si="10"/>
        <v>3587.78999999997</v>
      </c>
    </row>
    <row r="129" spans="1:6">
      <c r="A129" s="485">
        <f t="shared" si="11"/>
        <v>121</v>
      </c>
      <c r="B129" s="486">
        <f t="shared" si="8"/>
        <v>3587.7899999999695</v>
      </c>
      <c r="C129" s="446">
        <f t="shared" si="6"/>
        <v>17695.124618155249</v>
      </c>
      <c r="D129" s="446">
        <f t="shared" si="9"/>
        <v>-14107.334618155279</v>
      </c>
      <c r="E129" s="446">
        <f t="shared" si="7"/>
        <v>-1062682.8741111387</v>
      </c>
      <c r="F129" s="446">
        <f t="shared" si="10"/>
        <v>3587.78999999997</v>
      </c>
    </row>
    <row r="130" spans="1:6">
      <c r="A130" s="485">
        <f t="shared" si="11"/>
        <v>122</v>
      </c>
      <c r="B130" s="486">
        <f t="shared" si="8"/>
        <v>3587.7899999999695</v>
      </c>
      <c r="C130" s="446">
        <f t="shared" si="6"/>
        <v>17934.008800500342</v>
      </c>
      <c r="D130" s="446">
        <f t="shared" si="9"/>
        <v>-14346.218800500374</v>
      </c>
      <c r="E130" s="446">
        <f t="shared" si="7"/>
        <v>-1080616.8829116391</v>
      </c>
      <c r="F130" s="446">
        <f t="shared" si="10"/>
        <v>3587.7899999999681</v>
      </c>
    </row>
    <row r="131" spans="1:6">
      <c r="A131" s="485">
        <f t="shared" si="11"/>
        <v>123</v>
      </c>
      <c r="B131" s="486">
        <f t="shared" si="8"/>
        <v>3587.7899999999695</v>
      </c>
      <c r="C131" s="446">
        <f t="shared" si="6"/>
        <v>18176.117919307097</v>
      </c>
      <c r="D131" s="446">
        <f t="shared" si="9"/>
        <v>-14588.327919307127</v>
      </c>
      <c r="E131" s="446">
        <f t="shared" si="7"/>
        <v>-1098793.0008309463</v>
      </c>
      <c r="F131" s="446">
        <f t="shared" si="10"/>
        <v>3587.78999999997</v>
      </c>
    </row>
    <row r="132" spans="1:6">
      <c r="A132" s="485">
        <f t="shared" si="11"/>
        <v>124</v>
      </c>
      <c r="B132" s="486">
        <f t="shared" si="8"/>
        <v>3587.7899999999695</v>
      </c>
      <c r="C132" s="446">
        <f t="shared" si="6"/>
        <v>18421.495511217745</v>
      </c>
      <c r="D132" s="446">
        <f t="shared" si="9"/>
        <v>-14833.705511217775</v>
      </c>
      <c r="E132" s="446">
        <f t="shared" si="7"/>
        <v>-1117214.496342164</v>
      </c>
      <c r="F132" s="446">
        <f t="shared" si="10"/>
        <v>3587.78999999997</v>
      </c>
    </row>
    <row r="133" spans="1:6">
      <c r="A133" s="485">
        <f t="shared" si="11"/>
        <v>125</v>
      </c>
      <c r="B133" s="486">
        <f t="shared" si="8"/>
        <v>3587.7899999999695</v>
      </c>
      <c r="C133" s="446">
        <f t="shared" si="6"/>
        <v>18670.185700619182</v>
      </c>
      <c r="D133" s="446">
        <f t="shared" si="9"/>
        <v>-15082.395700619214</v>
      </c>
      <c r="E133" s="446">
        <f t="shared" si="7"/>
        <v>-1135884.6820427831</v>
      </c>
      <c r="F133" s="446">
        <f t="shared" si="10"/>
        <v>3587.7899999999681</v>
      </c>
    </row>
    <row r="134" spans="1:6">
      <c r="A134" s="485">
        <f t="shared" si="11"/>
        <v>126</v>
      </c>
      <c r="B134" s="486">
        <f t="shared" si="8"/>
        <v>3587.7899999999695</v>
      </c>
      <c r="C134" s="446">
        <f t="shared" si="6"/>
        <v>18922.233207577541</v>
      </c>
      <c r="D134" s="446">
        <f t="shared" si="9"/>
        <v>-15334.443207577571</v>
      </c>
      <c r="E134" s="446">
        <f t="shared" si="7"/>
        <v>-1154806.9152503607</v>
      </c>
      <c r="F134" s="446">
        <f t="shared" si="10"/>
        <v>3587.78999999997</v>
      </c>
    </row>
    <row r="135" spans="1:6">
      <c r="A135" s="485">
        <f t="shared" si="11"/>
        <v>127</v>
      </c>
      <c r="B135" s="486">
        <f t="shared" si="8"/>
        <v>3587.7899999999695</v>
      </c>
      <c r="C135" s="446">
        <f t="shared" si="6"/>
        <v>19177.683355879839</v>
      </c>
      <c r="D135" s="446">
        <f t="shared" si="9"/>
        <v>-15589.893355879869</v>
      </c>
      <c r="E135" s="446">
        <f t="shared" si="7"/>
        <v>-1173984.5986062405</v>
      </c>
      <c r="F135" s="446">
        <f t="shared" si="10"/>
        <v>3587.78999999997</v>
      </c>
    </row>
    <row r="136" spans="1:6">
      <c r="A136" s="485">
        <f t="shared" si="11"/>
        <v>128</v>
      </c>
      <c r="B136" s="486">
        <f t="shared" si="8"/>
        <v>3587.7899999999695</v>
      </c>
      <c r="C136" s="446">
        <f t="shared" si="6"/>
        <v>19436.582081184217</v>
      </c>
      <c r="D136" s="446">
        <f t="shared" si="9"/>
        <v>-15848.792081184247</v>
      </c>
      <c r="E136" s="446">
        <f t="shared" si="7"/>
        <v>-1193421.1806874247</v>
      </c>
      <c r="F136" s="446">
        <f t="shared" si="10"/>
        <v>3587.78999999997</v>
      </c>
    </row>
    <row r="137" spans="1:6">
      <c r="A137" s="485">
        <f t="shared" si="11"/>
        <v>129</v>
      </c>
      <c r="B137" s="486">
        <f t="shared" si="8"/>
        <v>3587.7899999999695</v>
      </c>
      <c r="C137" s="446">
        <f t="shared" ref="C137:C152" si="12">+B137-D137</f>
        <v>19698.975939280204</v>
      </c>
      <c r="D137" s="446">
        <f t="shared" si="9"/>
        <v>-16111.185939280234</v>
      </c>
      <c r="E137" s="446">
        <f t="shared" ref="E137:E152" si="13">+E136-C137</f>
        <v>-1213120.1566267048</v>
      </c>
      <c r="F137" s="446">
        <f t="shared" si="10"/>
        <v>3587.78999999997</v>
      </c>
    </row>
    <row r="138" spans="1:6">
      <c r="A138" s="485">
        <f t="shared" si="11"/>
        <v>130</v>
      </c>
      <c r="B138" s="486">
        <f t="shared" ref="B138:B152" si="14">+($B$2*($B$3/12))/(1-(1+($B$3/12))^-($B$4))</f>
        <v>3587.7899999999695</v>
      </c>
      <c r="C138" s="446">
        <f t="shared" si="12"/>
        <v>19964.912114460483</v>
      </c>
      <c r="D138" s="446">
        <f t="shared" ref="D138:D152" si="15">+E137*($B$3/12)</f>
        <v>-16377.122114460515</v>
      </c>
      <c r="E138" s="446">
        <f t="shared" si="13"/>
        <v>-1233085.0687411653</v>
      </c>
      <c r="F138" s="446">
        <f t="shared" ref="F138:F152" si="16">(C138+D138)+$B$5</f>
        <v>3587.7899999999681</v>
      </c>
    </row>
    <row r="139" spans="1:6">
      <c r="A139" s="485">
        <f t="shared" ref="A139:A152" si="17">+A138+1</f>
        <v>131</v>
      </c>
      <c r="B139" s="486">
        <f t="shared" si="14"/>
        <v>3587.7899999999695</v>
      </c>
      <c r="C139" s="446">
        <f t="shared" si="12"/>
        <v>20234.438428005698</v>
      </c>
      <c r="D139" s="446">
        <f t="shared" si="15"/>
        <v>-16646.64842800573</v>
      </c>
      <c r="E139" s="446">
        <f t="shared" si="13"/>
        <v>-1253319.507169171</v>
      </c>
      <c r="F139" s="446">
        <f t="shared" si="16"/>
        <v>3587.7899999999681</v>
      </c>
    </row>
    <row r="140" spans="1:6">
      <c r="A140" s="485">
        <f t="shared" si="17"/>
        <v>132</v>
      </c>
      <c r="B140" s="486">
        <f t="shared" si="14"/>
        <v>3587.7899999999695</v>
      </c>
      <c r="C140" s="446">
        <f t="shared" si="12"/>
        <v>20507.603346783777</v>
      </c>
      <c r="D140" s="446">
        <f t="shared" si="15"/>
        <v>-16919.813346783809</v>
      </c>
      <c r="E140" s="446">
        <f t="shared" si="13"/>
        <v>-1273827.1105159547</v>
      </c>
      <c r="F140" s="446">
        <f t="shared" si="16"/>
        <v>3587.7899999999681</v>
      </c>
    </row>
    <row r="141" spans="1:6">
      <c r="A141" s="485">
        <f t="shared" si="17"/>
        <v>133</v>
      </c>
      <c r="B141" s="486">
        <f t="shared" si="14"/>
        <v>3587.7899999999695</v>
      </c>
      <c r="C141" s="446">
        <f t="shared" si="12"/>
        <v>20784.455991965355</v>
      </c>
      <c r="D141" s="446">
        <f t="shared" si="15"/>
        <v>-17196.665991965387</v>
      </c>
      <c r="E141" s="446">
        <f t="shared" si="13"/>
        <v>-1294611.5665079199</v>
      </c>
      <c r="F141" s="446">
        <f t="shared" si="16"/>
        <v>3587.7899999999681</v>
      </c>
    </row>
    <row r="142" spans="1:6">
      <c r="A142" s="485">
        <f t="shared" si="17"/>
        <v>134</v>
      </c>
      <c r="B142" s="486">
        <f t="shared" si="14"/>
        <v>3587.7899999999695</v>
      </c>
      <c r="C142" s="446">
        <f t="shared" si="12"/>
        <v>21065.046147856887</v>
      </c>
      <c r="D142" s="446">
        <f t="shared" si="15"/>
        <v>-17477.256147856919</v>
      </c>
      <c r="E142" s="446">
        <f t="shared" si="13"/>
        <v>-1315676.6126557768</v>
      </c>
      <c r="F142" s="446">
        <f t="shared" si="16"/>
        <v>3587.7899999999681</v>
      </c>
    </row>
    <row r="143" spans="1:6">
      <c r="A143" s="485">
        <f t="shared" si="17"/>
        <v>135</v>
      </c>
      <c r="B143" s="486">
        <f t="shared" si="14"/>
        <v>3587.7899999999695</v>
      </c>
      <c r="C143" s="446">
        <f t="shared" si="12"/>
        <v>21349.424270852953</v>
      </c>
      <c r="D143" s="446">
        <f t="shared" si="15"/>
        <v>-17761.634270852985</v>
      </c>
      <c r="E143" s="446">
        <f t="shared" si="13"/>
        <v>-1337026.0369266297</v>
      </c>
      <c r="F143" s="446">
        <f t="shared" si="16"/>
        <v>3587.7899999999681</v>
      </c>
    </row>
    <row r="144" spans="1:6">
      <c r="A144" s="485">
        <f t="shared" si="17"/>
        <v>136</v>
      </c>
      <c r="B144" s="486">
        <f t="shared" si="14"/>
        <v>3587.7899999999695</v>
      </c>
      <c r="C144" s="446">
        <f t="shared" si="12"/>
        <v>21637.641498509471</v>
      </c>
      <c r="D144" s="446">
        <f t="shared" si="15"/>
        <v>-18049.851498509503</v>
      </c>
      <c r="E144" s="446">
        <f t="shared" si="13"/>
        <v>-1358663.6784251393</v>
      </c>
      <c r="F144" s="446">
        <f t="shared" si="16"/>
        <v>3587.7899999999681</v>
      </c>
    </row>
    <row r="145" spans="1:6">
      <c r="A145" s="485">
        <f t="shared" si="17"/>
        <v>137</v>
      </c>
      <c r="B145" s="486">
        <f t="shared" si="14"/>
        <v>3587.7899999999695</v>
      </c>
      <c r="C145" s="446">
        <f t="shared" si="12"/>
        <v>21929.749658739347</v>
      </c>
      <c r="D145" s="446">
        <f t="shared" si="15"/>
        <v>-18341.959658739379</v>
      </c>
      <c r="E145" s="446">
        <f t="shared" si="13"/>
        <v>-1380593.4280838787</v>
      </c>
      <c r="F145" s="446">
        <f t="shared" si="16"/>
        <v>3587.7899999999681</v>
      </c>
    </row>
    <row r="146" spans="1:6">
      <c r="A146" s="485">
        <f t="shared" si="17"/>
        <v>138</v>
      </c>
      <c r="B146" s="486">
        <f t="shared" si="14"/>
        <v>3587.7899999999695</v>
      </c>
      <c r="C146" s="446">
        <f t="shared" si="12"/>
        <v>22225.801279132331</v>
      </c>
      <c r="D146" s="446">
        <f t="shared" si="15"/>
        <v>-18638.011279132363</v>
      </c>
      <c r="E146" s="446">
        <f t="shared" si="13"/>
        <v>-1402819.229363011</v>
      </c>
      <c r="F146" s="446">
        <f t="shared" si="16"/>
        <v>3587.7899999999681</v>
      </c>
    </row>
    <row r="147" spans="1:6">
      <c r="A147" s="485">
        <f t="shared" si="17"/>
        <v>139</v>
      </c>
      <c r="B147" s="486">
        <f t="shared" si="14"/>
        <v>3587.7899999999695</v>
      </c>
      <c r="C147" s="446">
        <f t="shared" si="12"/>
        <v>22525.849596400614</v>
      </c>
      <c r="D147" s="446">
        <f t="shared" si="15"/>
        <v>-18938.059596400646</v>
      </c>
      <c r="E147" s="446">
        <f t="shared" si="13"/>
        <v>-1425345.0789594115</v>
      </c>
      <c r="F147" s="446">
        <f t="shared" si="16"/>
        <v>3587.7899999999681</v>
      </c>
    </row>
    <row r="148" spans="1:6">
      <c r="A148" s="485">
        <f t="shared" si="17"/>
        <v>140</v>
      </c>
      <c r="B148" s="486">
        <f t="shared" si="14"/>
        <v>3587.7899999999695</v>
      </c>
      <c r="C148" s="446">
        <f t="shared" si="12"/>
        <v>22829.948565952021</v>
      </c>
      <c r="D148" s="446">
        <f t="shared" si="15"/>
        <v>-19242.158565952053</v>
      </c>
      <c r="E148" s="446">
        <f t="shared" si="13"/>
        <v>-1448175.0275253635</v>
      </c>
      <c r="F148" s="446">
        <f t="shared" si="16"/>
        <v>3587.7899999999681</v>
      </c>
    </row>
    <row r="149" spans="1:6">
      <c r="A149" s="485">
        <f t="shared" si="17"/>
        <v>141</v>
      </c>
      <c r="B149" s="486">
        <f t="shared" si="14"/>
        <v>3587.7899999999695</v>
      </c>
      <c r="C149" s="446">
        <f t="shared" si="12"/>
        <v>23138.152871592374</v>
      </c>
      <c r="D149" s="446">
        <f t="shared" si="15"/>
        <v>-19550.362871592406</v>
      </c>
      <c r="E149" s="446">
        <f t="shared" si="13"/>
        <v>-1471313.1803969559</v>
      </c>
      <c r="F149" s="446">
        <f t="shared" si="16"/>
        <v>3587.7899999999681</v>
      </c>
    </row>
    <row r="150" spans="1:6">
      <c r="A150" s="485">
        <f t="shared" si="17"/>
        <v>142</v>
      </c>
      <c r="B150" s="486">
        <f t="shared" si="14"/>
        <v>3587.7899999999695</v>
      </c>
      <c r="C150" s="446">
        <f t="shared" si="12"/>
        <v>23450.517935358872</v>
      </c>
      <c r="D150" s="446">
        <f t="shared" si="15"/>
        <v>-19862.727935358904</v>
      </c>
      <c r="E150" s="446">
        <f t="shared" si="13"/>
        <v>-1494763.6983323148</v>
      </c>
      <c r="F150" s="446">
        <f t="shared" si="16"/>
        <v>3587.7899999999681</v>
      </c>
    </row>
    <row r="151" spans="1:6">
      <c r="A151" s="485">
        <f t="shared" si="17"/>
        <v>143</v>
      </c>
      <c r="B151" s="486">
        <f t="shared" si="14"/>
        <v>3587.7899999999695</v>
      </c>
      <c r="C151" s="446">
        <f t="shared" si="12"/>
        <v>23767.099927486219</v>
      </c>
      <c r="D151" s="446">
        <f t="shared" si="15"/>
        <v>-20179.309927486251</v>
      </c>
      <c r="E151" s="446">
        <f t="shared" si="13"/>
        <v>-1518530.798259801</v>
      </c>
      <c r="F151" s="446">
        <f t="shared" si="16"/>
        <v>3587.7899999999681</v>
      </c>
    </row>
    <row r="152" spans="1:6">
      <c r="A152" s="485">
        <f t="shared" si="17"/>
        <v>144</v>
      </c>
      <c r="B152" s="486">
        <f t="shared" si="14"/>
        <v>3587.7899999999695</v>
      </c>
      <c r="C152" s="446">
        <f t="shared" si="12"/>
        <v>24087.955776507282</v>
      </c>
      <c r="D152" s="446">
        <f t="shared" si="15"/>
        <v>-20500.165776507314</v>
      </c>
      <c r="E152" s="446">
        <f t="shared" si="13"/>
        <v>-1542618.7540363083</v>
      </c>
      <c r="F152" s="446">
        <f t="shared" si="16"/>
        <v>3587.7899999999681</v>
      </c>
    </row>
    <row r="153" spans="1:6">
      <c r="A153" s="96" t="s">
        <v>57</v>
      </c>
      <c r="B153" s="487">
        <f>B1</f>
        <v>7175.579999999939</v>
      </c>
      <c r="C153" s="96"/>
      <c r="D153" s="487">
        <f>B153-B2</f>
        <v>3635.579999999939</v>
      </c>
      <c r="E153" s="487"/>
      <c r="F153" s="453"/>
    </row>
    <row r="154" spans="1:6">
      <c r="B154" s="453"/>
      <c r="C154" s="453"/>
      <c r="D154" s="453"/>
      <c r="E154" s="453"/>
      <c r="F154" s="453"/>
    </row>
  </sheetData>
  <autoFilter ref="A7:E154"/>
  <pageMargins left="0.78740157480314965" right="0.78740157480314965" top="0.98425196850393704" bottom="0.98425196850393704" header="0.51181102362204722" footer="0.51181102362204722"/>
  <pageSetup paperSize="9" scale="70" orientation="portrait" horizont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B1:S83"/>
  <sheetViews>
    <sheetView zoomScale="90" zoomScaleNormal="90" workbookViewId="0">
      <selection activeCell="F27" sqref="F27"/>
    </sheetView>
  </sheetViews>
  <sheetFormatPr baseColWidth="10" defaultRowHeight="12.75"/>
  <cols>
    <col min="2" max="2" width="20.7109375" customWidth="1"/>
    <col min="3" max="3" width="5.140625" customWidth="1"/>
    <col min="4" max="4" width="10.140625" customWidth="1"/>
    <col min="5" max="5" width="8.42578125" customWidth="1"/>
    <col min="6" max="6" width="9.85546875" customWidth="1"/>
    <col min="7" max="7" width="9.7109375" customWidth="1"/>
    <col min="8" max="8" width="10.140625" customWidth="1"/>
    <col min="9" max="9" width="10.42578125" customWidth="1"/>
    <col min="10" max="10" width="9.7109375" customWidth="1"/>
    <col min="11" max="11" width="9.140625" customWidth="1"/>
    <col min="12" max="12" width="9.5703125" customWidth="1"/>
    <col min="13" max="13" width="10.140625" customWidth="1"/>
    <col min="14" max="14" width="9.5703125" customWidth="1"/>
    <col min="15" max="15" width="9.85546875" customWidth="1"/>
    <col min="17" max="17" width="27.5703125" bestFit="1" customWidth="1"/>
  </cols>
  <sheetData>
    <row r="1" spans="2:19" ht="13.5" thickBot="1">
      <c r="B1" s="312"/>
      <c r="C1" s="318" t="s">
        <v>371</v>
      </c>
      <c r="D1" s="318" t="s">
        <v>370</v>
      </c>
      <c r="E1" s="318" t="s">
        <v>372</v>
      </c>
      <c r="F1" s="318" t="s">
        <v>373</v>
      </c>
      <c r="G1" s="318" t="s">
        <v>374</v>
      </c>
      <c r="H1" s="318" t="s">
        <v>375</v>
      </c>
      <c r="I1" s="318" t="s">
        <v>376</v>
      </c>
      <c r="J1" s="318" t="s">
        <v>377</v>
      </c>
      <c r="K1" s="318" t="s">
        <v>378</v>
      </c>
      <c r="L1" s="318" t="s">
        <v>379</v>
      </c>
      <c r="M1" s="318" t="s">
        <v>380</v>
      </c>
      <c r="N1" s="318" t="s">
        <v>381</v>
      </c>
      <c r="O1" s="319" t="s">
        <v>1</v>
      </c>
    </row>
    <row r="2" spans="2:19" ht="16.5" customHeight="1" thickBot="1">
      <c r="B2" s="320" t="s">
        <v>152</v>
      </c>
      <c r="C2" s="521"/>
      <c r="D2" s="521"/>
      <c r="E2" s="521"/>
      <c r="F2" s="521"/>
      <c r="G2" s="521"/>
      <c r="H2" s="521"/>
      <c r="I2" s="521"/>
      <c r="J2" s="321"/>
      <c r="K2" s="321"/>
      <c r="L2" s="321"/>
      <c r="M2" s="321"/>
      <c r="N2" s="321"/>
      <c r="O2" s="321"/>
      <c r="Q2" s="313" t="s">
        <v>136</v>
      </c>
      <c r="R2" s="314" t="s">
        <v>383</v>
      </c>
      <c r="S2" s="314" t="s">
        <v>176</v>
      </c>
    </row>
    <row r="3" spans="2:19" ht="13.5" thickBot="1">
      <c r="B3" s="322" t="s">
        <v>137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Q3" s="98" t="s">
        <v>518</v>
      </c>
      <c r="R3" s="330">
        <v>252</v>
      </c>
      <c r="S3" s="330">
        <v>21</v>
      </c>
    </row>
    <row r="4" spans="2:19" ht="13.5" thickBot="1">
      <c r="B4" s="313" t="s">
        <v>393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>
        <f>SUM(C4:N4)</f>
        <v>0</v>
      </c>
      <c r="Q4" s="315" t="s">
        <v>59</v>
      </c>
      <c r="R4" s="331">
        <v>240</v>
      </c>
      <c r="S4" s="331">
        <v>20</v>
      </c>
    </row>
    <row r="5" spans="2:19" ht="13.5" thickBot="1">
      <c r="B5" s="313" t="s">
        <v>515</v>
      </c>
      <c r="C5" s="521"/>
      <c r="D5" s="521"/>
      <c r="E5" s="522"/>
      <c r="F5" s="521">
        <v>15848.76</v>
      </c>
      <c r="G5" s="521"/>
      <c r="H5" s="521"/>
      <c r="I5" s="521"/>
      <c r="J5" s="521"/>
      <c r="K5" s="521"/>
      <c r="L5" s="521"/>
      <c r="M5" s="521"/>
      <c r="N5" s="521"/>
      <c r="O5" s="521">
        <f>SUM(C5:N5)</f>
        <v>15848.76</v>
      </c>
      <c r="Q5" s="98" t="s">
        <v>177</v>
      </c>
      <c r="R5" s="330">
        <v>240</v>
      </c>
      <c r="S5" s="330">
        <v>20</v>
      </c>
    </row>
    <row r="6" spans="2:19" ht="16.5" customHeight="1" thickBot="1">
      <c r="B6" s="520" t="s">
        <v>390</v>
      </c>
      <c r="C6" s="521"/>
      <c r="D6" s="521"/>
      <c r="E6" s="521"/>
      <c r="F6" s="521">
        <f>+D25*F25</f>
        <v>47.79</v>
      </c>
      <c r="G6" s="522">
        <f t="shared" ref="G6:L6" si="0">+($D$25+$D$26)*$F$25</f>
        <v>338.36711790648991</v>
      </c>
      <c r="H6" s="522">
        <f t="shared" si="0"/>
        <v>338.36711790648991</v>
      </c>
      <c r="I6" s="522">
        <f t="shared" si="0"/>
        <v>338.36711790648991</v>
      </c>
      <c r="J6" s="522">
        <f t="shared" si="0"/>
        <v>338.36711790648991</v>
      </c>
      <c r="K6" s="522">
        <f t="shared" si="0"/>
        <v>338.36711790648991</v>
      </c>
      <c r="L6" s="522">
        <f t="shared" si="0"/>
        <v>338.36711790648991</v>
      </c>
      <c r="M6" s="522">
        <f>+($L$18+$K$18)*$F$25</f>
        <v>262.29504259595257</v>
      </c>
      <c r="N6" s="522">
        <f>+($L$18+$K$18)*$F$25</f>
        <v>262.29504259595257</v>
      </c>
      <c r="O6" s="522">
        <f>SUM(C6:N6)</f>
        <v>2602.5827926308448</v>
      </c>
      <c r="Q6" s="315" t="s">
        <v>519</v>
      </c>
      <c r="R6" s="331">
        <v>5333.4</v>
      </c>
      <c r="S6" s="331" t="s">
        <v>520</v>
      </c>
    </row>
    <row r="7" spans="2:19" ht="13.5" customHeight="1" thickBot="1">
      <c r="B7" s="320" t="s">
        <v>392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2">
        <f t="shared" ref="O7:O13" si="1">SUM(C7:N7)</f>
        <v>0</v>
      </c>
      <c r="Q7" s="315" t="s">
        <v>521</v>
      </c>
      <c r="R7" s="331">
        <v>266.67</v>
      </c>
      <c r="S7" s="331" t="s">
        <v>522</v>
      </c>
    </row>
    <row r="8" spans="2:19" ht="26.25" thickBot="1">
      <c r="B8" s="320" t="s">
        <v>505</v>
      </c>
      <c r="C8" s="521"/>
      <c r="D8" s="521"/>
      <c r="E8" s="522">
        <f>+'flujo proyectado  centro 5 años'!E10</f>
        <v>4224.6303131999994</v>
      </c>
      <c r="F8" s="521"/>
      <c r="G8" s="521"/>
      <c r="H8" s="521"/>
      <c r="I8" s="521"/>
      <c r="J8" s="521"/>
      <c r="K8" s="522">
        <f>+'flujo proyectado  centro 5 años'!K9</f>
        <v>7120.3493196000018</v>
      </c>
      <c r="L8" s="521"/>
      <c r="M8" s="521"/>
      <c r="N8" s="521"/>
      <c r="O8" s="522">
        <f t="shared" si="1"/>
        <v>11344.979632800001</v>
      </c>
      <c r="Q8" s="316" t="s">
        <v>523</v>
      </c>
      <c r="R8" s="332">
        <f>+R6+R7</f>
        <v>5600.07</v>
      </c>
      <c r="S8" s="332">
        <f>+R8/12</f>
        <v>466.67249999999996</v>
      </c>
    </row>
    <row r="9" spans="2:19" ht="15.75" thickBot="1">
      <c r="B9" s="320" t="s">
        <v>513</v>
      </c>
      <c r="C9" s="521"/>
      <c r="D9" s="521"/>
      <c r="E9" s="521">
        <f>5*236</f>
        <v>1180</v>
      </c>
      <c r="F9" s="521">
        <f t="shared" ref="F9:N9" si="2">5*236</f>
        <v>1180</v>
      </c>
      <c r="G9" s="521">
        <f t="shared" si="2"/>
        <v>1180</v>
      </c>
      <c r="H9" s="521">
        <f t="shared" si="2"/>
        <v>1180</v>
      </c>
      <c r="I9" s="521">
        <f t="shared" si="2"/>
        <v>1180</v>
      </c>
      <c r="J9" s="521">
        <f t="shared" si="2"/>
        <v>1180</v>
      </c>
      <c r="K9" s="521">
        <f t="shared" si="2"/>
        <v>1180</v>
      </c>
      <c r="L9" s="521">
        <f t="shared" si="2"/>
        <v>1180</v>
      </c>
      <c r="M9" s="521">
        <f t="shared" si="2"/>
        <v>1180</v>
      </c>
      <c r="N9" s="521">
        <f t="shared" si="2"/>
        <v>1180</v>
      </c>
      <c r="O9" s="522">
        <f>SUM(E9:N9)</f>
        <v>11800</v>
      </c>
      <c r="P9" s="367">
        <f>+O9*0.5</f>
        <v>5900</v>
      </c>
      <c r="Q9" s="673" t="s">
        <v>524</v>
      </c>
      <c r="R9" s="673"/>
      <c r="S9" s="97"/>
    </row>
    <row r="10" spans="2:19" ht="13.5" thickBot="1">
      <c r="B10" s="320" t="s">
        <v>514</v>
      </c>
      <c r="C10" s="521"/>
      <c r="D10" s="521"/>
      <c r="E10" s="521">
        <v>3540</v>
      </c>
      <c r="F10" s="521"/>
      <c r="G10" s="521"/>
      <c r="H10" s="521"/>
      <c r="I10" s="521"/>
      <c r="J10" s="521"/>
      <c r="K10" s="521"/>
      <c r="L10" s="521"/>
      <c r="M10" s="521"/>
      <c r="N10" s="521"/>
      <c r="O10" s="522">
        <f>SUM(C10:N10)</f>
        <v>3540</v>
      </c>
    </row>
    <row r="11" spans="2:19" ht="13.5" thickBot="1">
      <c r="B11" s="320" t="s">
        <v>511</v>
      </c>
      <c r="C11" s="521">
        <f>+C35</f>
        <v>0</v>
      </c>
      <c r="D11" s="521">
        <f t="shared" ref="D11:N11" si="3">+D35</f>
        <v>0</v>
      </c>
      <c r="E11" s="521">
        <f t="shared" si="3"/>
        <v>0</v>
      </c>
      <c r="F11" s="521">
        <f t="shared" si="3"/>
        <v>0</v>
      </c>
      <c r="G11" s="521">
        <f t="shared" si="3"/>
        <v>0</v>
      </c>
      <c r="H11" s="521">
        <f t="shared" si="3"/>
        <v>0</v>
      </c>
      <c r="I11" s="521">
        <f t="shared" si="3"/>
        <v>0</v>
      </c>
      <c r="J11" s="521">
        <f t="shared" si="3"/>
        <v>0</v>
      </c>
      <c r="K11" s="521">
        <f t="shared" si="3"/>
        <v>3540</v>
      </c>
      <c r="L11" s="522">
        <f>+F18</f>
        <v>21524.230956036288</v>
      </c>
      <c r="M11" s="521">
        <f t="shared" si="3"/>
        <v>0</v>
      </c>
      <c r="N11" s="521">
        <f t="shared" si="3"/>
        <v>0</v>
      </c>
      <c r="O11" s="522">
        <f>SUM(C11:N11)</f>
        <v>25064.230956036288</v>
      </c>
    </row>
    <row r="12" spans="2:19" ht="13.5" thickBot="1">
      <c r="B12" s="320" t="s">
        <v>153</v>
      </c>
      <c r="C12" s="522">
        <f>SUM(C5:C11)</f>
        <v>0</v>
      </c>
      <c r="D12" s="522">
        <f t="shared" ref="D12" si="4">SUM(D5:D11)</f>
        <v>0</v>
      </c>
      <c r="E12" s="522">
        <f>SUM(E2:E11)</f>
        <v>8944.6303131999994</v>
      </c>
      <c r="F12" s="522">
        <f>SUM(F2:F11)</f>
        <v>17076.550000000003</v>
      </c>
      <c r="G12" s="522">
        <f t="shared" ref="G12:N12" si="5">SUM(G2:G11)</f>
        <v>1518.36711790649</v>
      </c>
      <c r="H12" s="522">
        <f t="shared" si="5"/>
        <v>1518.36711790649</v>
      </c>
      <c r="I12" s="522">
        <f t="shared" si="5"/>
        <v>1518.36711790649</v>
      </c>
      <c r="J12" s="522">
        <f t="shared" si="5"/>
        <v>1518.36711790649</v>
      </c>
      <c r="K12" s="522">
        <f t="shared" si="5"/>
        <v>12178.716437506491</v>
      </c>
      <c r="L12" s="522">
        <f t="shared" si="5"/>
        <v>23042.59807394278</v>
      </c>
      <c r="M12" s="522">
        <f t="shared" si="5"/>
        <v>1442.2950425959525</v>
      </c>
      <c r="N12" s="522">
        <f t="shared" si="5"/>
        <v>1442.2950425959525</v>
      </c>
      <c r="O12" s="522">
        <f>SUM(C12:N12)</f>
        <v>70200.553381467151</v>
      </c>
      <c r="Q12">
        <v>11800</v>
      </c>
      <c r="R12">
        <v>100</v>
      </c>
    </row>
    <row r="13" spans="2:19" ht="13.5" thickBot="1">
      <c r="B13" s="322" t="s">
        <v>154</v>
      </c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2">
        <f t="shared" si="1"/>
        <v>0</v>
      </c>
    </row>
    <row r="14" spans="2:19" ht="13.5" thickBot="1">
      <c r="B14" s="320" t="s">
        <v>389</v>
      </c>
      <c r="C14" s="523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2">
        <f>SUM(C14:N14)</f>
        <v>0</v>
      </c>
      <c r="Q14" t="e">
        <f>+#REF!*R12</f>
        <v>#REF!</v>
      </c>
    </row>
    <row r="15" spans="2:19" ht="36.75" customHeight="1" thickBot="1">
      <c r="B15" s="520" t="s">
        <v>510</v>
      </c>
      <c r="C15" s="523">
        <v>0</v>
      </c>
      <c r="D15" s="524"/>
      <c r="E15" s="524">
        <f>+$D$24*$F$24</f>
        <v>8.85</v>
      </c>
      <c r="F15" s="524">
        <f t="shared" ref="F15:N15" si="6">+$D$24*$F$24</f>
        <v>8.85</v>
      </c>
      <c r="G15" s="524">
        <f t="shared" si="6"/>
        <v>8.85</v>
      </c>
      <c r="H15" s="524">
        <f t="shared" si="6"/>
        <v>8.85</v>
      </c>
      <c r="I15" s="524">
        <f t="shared" si="6"/>
        <v>8.85</v>
      </c>
      <c r="J15" s="524">
        <f t="shared" si="6"/>
        <v>8.85</v>
      </c>
      <c r="K15" s="524">
        <f t="shared" si="6"/>
        <v>8.85</v>
      </c>
      <c r="L15" s="524">
        <f t="shared" si="6"/>
        <v>8.85</v>
      </c>
      <c r="M15" s="524">
        <f t="shared" si="6"/>
        <v>8.85</v>
      </c>
      <c r="N15" s="524">
        <f t="shared" si="6"/>
        <v>8.85</v>
      </c>
      <c r="O15" s="522">
        <f t="shared" ref="O15:O18" si="7">SUM(C15:N15)</f>
        <v>88.499999999999986</v>
      </c>
      <c r="Q15" t="e">
        <f>+Q14/Q12</f>
        <v>#REF!</v>
      </c>
    </row>
    <row r="16" spans="2:19" ht="13.5" thickBot="1">
      <c r="B16" s="312" t="s">
        <v>509</v>
      </c>
      <c r="C16" s="523">
        <f t="shared" ref="C16" si="8">SUM(C13)</f>
        <v>0</v>
      </c>
      <c r="D16" s="524"/>
      <c r="E16" s="522">
        <f t="shared" ref="E16:N16" si="9">+$F$24*$E$9</f>
        <v>2.95</v>
      </c>
      <c r="F16" s="522">
        <f t="shared" si="9"/>
        <v>2.95</v>
      </c>
      <c r="G16" s="522">
        <f t="shared" si="9"/>
        <v>2.95</v>
      </c>
      <c r="H16" s="522">
        <f t="shared" si="9"/>
        <v>2.95</v>
      </c>
      <c r="I16" s="522">
        <f t="shared" si="9"/>
        <v>2.95</v>
      </c>
      <c r="J16" s="522">
        <f t="shared" si="9"/>
        <v>2.95</v>
      </c>
      <c r="K16" s="522">
        <f t="shared" si="9"/>
        <v>2.95</v>
      </c>
      <c r="L16" s="522">
        <f t="shared" si="9"/>
        <v>2.95</v>
      </c>
      <c r="M16" s="522">
        <f t="shared" si="9"/>
        <v>2.95</v>
      </c>
      <c r="N16" s="522">
        <f t="shared" si="9"/>
        <v>2.95</v>
      </c>
      <c r="O16" s="522">
        <f t="shared" si="7"/>
        <v>29.499999999999996</v>
      </c>
    </row>
    <row r="17" spans="2:15" ht="13.5" thickBot="1">
      <c r="B17" s="312" t="s">
        <v>516</v>
      </c>
      <c r="C17" s="523"/>
      <c r="D17" s="523"/>
      <c r="E17" s="523">
        <f>+$S$8</f>
        <v>466.67249999999996</v>
      </c>
      <c r="F17" s="523">
        <f t="shared" ref="F17:N17" si="10">+$S$8</f>
        <v>466.67249999999996</v>
      </c>
      <c r="G17" s="523">
        <f t="shared" si="10"/>
        <v>466.67249999999996</v>
      </c>
      <c r="H17" s="523">
        <f t="shared" si="10"/>
        <v>466.67249999999996</v>
      </c>
      <c r="I17" s="523">
        <f t="shared" si="10"/>
        <v>466.67249999999996</v>
      </c>
      <c r="J17" s="523">
        <f t="shared" si="10"/>
        <v>466.67249999999996</v>
      </c>
      <c r="K17" s="523">
        <f t="shared" si="10"/>
        <v>466.67249999999996</v>
      </c>
      <c r="L17" s="523">
        <f t="shared" si="10"/>
        <v>466.67249999999996</v>
      </c>
      <c r="M17" s="523">
        <f t="shared" si="10"/>
        <v>466.67249999999996</v>
      </c>
      <c r="N17" s="523">
        <f t="shared" si="10"/>
        <v>466.67249999999996</v>
      </c>
      <c r="O17" s="522">
        <f t="shared" si="7"/>
        <v>4666.7249999999995</v>
      </c>
    </row>
    <row r="18" spans="2:15" ht="13.5" thickBot="1">
      <c r="B18" s="102" t="s">
        <v>512</v>
      </c>
      <c r="C18" s="523">
        <f>SUM(C14)</f>
        <v>0</v>
      </c>
      <c r="D18" s="522"/>
      <c r="E18" s="525">
        <f>+E78*236</f>
        <v>3540</v>
      </c>
      <c r="F18" s="525">
        <f>+F72*236</f>
        <v>21524.230956036288</v>
      </c>
      <c r="G18" s="525"/>
      <c r="H18" s="525"/>
      <c r="I18" s="525"/>
      <c r="J18" s="525"/>
      <c r="K18" s="525">
        <f>236*K78</f>
        <v>3540</v>
      </c>
      <c r="L18" s="525">
        <f>236*L72</f>
        <v>15889.262414515004</v>
      </c>
      <c r="M18" s="525"/>
      <c r="N18" s="525"/>
      <c r="O18" s="522">
        <f t="shared" si="7"/>
        <v>44493.493370551296</v>
      </c>
    </row>
    <row r="19" spans="2:15" ht="13.5" thickBot="1">
      <c r="B19" s="102" t="s">
        <v>525</v>
      </c>
      <c r="C19" s="523"/>
      <c r="D19" s="522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>
        <f>SUM(C19:N19)</f>
        <v>0</v>
      </c>
    </row>
    <row r="20" spans="2:15" ht="13.5" thickBot="1">
      <c r="B20" s="324" t="s">
        <v>444</v>
      </c>
      <c r="C20" s="526">
        <f>SUM(C18)</f>
        <v>0</v>
      </c>
      <c r="D20" s="526">
        <f t="shared" ref="D20" si="11">SUM(D18)</f>
        <v>0</v>
      </c>
      <c r="E20" s="526">
        <f>SUM(E15:E18)</f>
        <v>4018.4724999999999</v>
      </c>
      <c r="F20" s="526">
        <f t="shared" ref="F20:N20" si="12">SUM(F15:F18)</f>
        <v>22002.703456036288</v>
      </c>
      <c r="G20" s="526">
        <f t="shared" si="12"/>
        <v>478.47249999999997</v>
      </c>
      <c r="H20" s="526">
        <f t="shared" si="12"/>
        <v>478.47249999999997</v>
      </c>
      <c r="I20" s="526">
        <f t="shared" si="12"/>
        <v>478.47249999999997</v>
      </c>
      <c r="J20" s="526">
        <f t="shared" si="12"/>
        <v>478.47249999999997</v>
      </c>
      <c r="K20" s="526">
        <f t="shared" si="12"/>
        <v>4018.4724999999999</v>
      </c>
      <c r="L20" s="526">
        <f>SUM(L15:L19)</f>
        <v>16367.734914515004</v>
      </c>
      <c r="M20" s="526">
        <f t="shared" si="12"/>
        <v>478.47249999999997</v>
      </c>
      <c r="N20" s="526">
        <f t="shared" si="12"/>
        <v>478.47249999999997</v>
      </c>
      <c r="O20" s="526">
        <f>SUM(O15:O19)</f>
        <v>49278.218370551294</v>
      </c>
    </row>
    <row r="21" spans="2:15" ht="13.5" thickBot="1">
      <c r="B21" s="324" t="s">
        <v>445</v>
      </c>
      <c r="C21" s="526">
        <f t="shared" ref="C21:O21" si="13">+C12-C20</f>
        <v>0</v>
      </c>
      <c r="D21" s="526">
        <f t="shared" si="13"/>
        <v>0</v>
      </c>
      <c r="E21" s="526">
        <f t="shared" si="13"/>
        <v>4926.1578131999995</v>
      </c>
      <c r="F21" s="526">
        <f t="shared" si="13"/>
        <v>-4926.1534560362852</v>
      </c>
      <c r="G21" s="526">
        <f t="shared" si="13"/>
        <v>1039.8946179064901</v>
      </c>
      <c r="H21" s="526">
        <f t="shared" si="13"/>
        <v>1039.8946179064901</v>
      </c>
      <c r="I21" s="526">
        <f t="shared" si="13"/>
        <v>1039.8946179064901</v>
      </c>
      <c r="J21" s="526">
        <f t="shared" si="13"/>
        <v>1039.8946179064901</v>
      </c>
      <c r="K21" s="526">
        <f t="shared" si="13"/>
        <v>8160.2439375064914</v>
      </c>
      <c r="L21" s="526">
        <f t="shared" si="13"/>
        <v>6674.8631594277758</v>
      </c>
      <c r="M21" s="526">
        <f t="shared" si="13"/>
        <v>963.82254259595254</v>
      </c>
      <c r="N21" s="526">
        <f t="shared" si="13"/>
        <v>963.82254259595254</v>
      </c>
      <c r="O21" s="526">
        <f t="shared" si="13"/>
        <v>20922.335010915856</v>
      </c>
    </row>
    <row r="22" spans="2:15" ht="13.5" thickBot="1">
      <c r="B22" s="324" t="s">
        <v>446</v>
      </c>
      <c r="C22" s="318">
        <v>0</v>
      </c>
      <c r="D22" s="526">
        <f>+C22+D21</f>
        <v>0</v>
      </c>
      <c r="E22" s="526">
        <f>+D22+E21</f>
        <v>4926.1578131999995</v>
      </c>
      <c r="F22" s="526">
        <f t="shared" ref="F22:M22" si="14">+E22+F21</f>
        <v>4.3571637143031694E-3</v>
      </c>
      <c r="G22" s="526">
        <f t="shared" si="14"/>
        <v>1039.8989750702044</v>
      </c>
      <c r="H22" s="526">
        <f t="shared" si="14"/>
        <v>2079.7935929766945</v>
      </c>
      <c r="I22" s="526">
        <f t="shared" si="14"/>
        <v>3119.6882108831846</v>
      </c>
      <c r="J22" s="526">
        <f t="shared" si="14"/>
        <v>4159.5828287896747</v>
      </c>
      <c r="K22" s="526">
        <f t="shared" si="14"/>
        <v>12319.826766296166</v>
      </c>
      <c r="L22" s="526">
        <f t="shared" si="14"/>
        <v>18994.689925723942</v>
      </c>
      <c r="M22" s="526">
        <f t="shared" si="14"/>
        <v>19958.512468319896</v>
      </c>
      <c r="N22" s="526">
        <f>+M22+N21</f>
        <v>20922.335010915849</v>
      </c>
      <c r="O22" s="522"/>
    </row>
    <row r="23" spans="2:15"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4"/>
    </row>
    <row r="24" spans="2:15">
      <c r="B24" s="295"/>
      <c r="C24" s="295"/>
      <c r="D24" s="295">
        <v>3540</v>
      </c>
      <c r="E24" s="311">
        <v>0.03</v>
      </c>
      <c r="F24" s="295">
        <f>+E24/12</f>
        <v>2.5000000000000001E-3</v>
      </c>
      <c r="G24" s="295"/>
      <c r="H24" s="295"/>
      <c r="I24" s="295"/>
      <c r="J24" s="295"/>
      <c r="K24" s="295"/>
      <c r="L24" s="295"/>
      <c r="M24" s="295"/>
      <c r="N24" s="295"/>
      <c r="O24" s="293"/>
    </row>
    <row r="25" spans="2:15">
      <c r="D25">
        <v>3540</v>
      </c>
      <c r="E25" s="254">
        <v>0.16200000000000001</v>
      </c>
      <c r="F25" s="254">
        <f>+E25/12</f>
        <v>1.35E-2</v>
      </c>
    </row>
    <row r="26" spans="2:15">
      <c r="D26" s="37">
        <f>+F18</f>
        <v>21524.230956036288</v>
      </c>
    </row>
    <row r="27" spans="2:15" ht="13.5" thickBot="1"/>
    <row r="28" spans="2:15" ht="13.5" thickBot="1">
      <c r="B28" s="296"/>
      <c r="C28" s="297" t="s">
        <v>371</v>
      </c>
      <c r="D28" s="297" t="s">
        <v>370</v>
      </c>
      <c r="E28" s="297" t="s">
        <v>372</v>
      </c>
      <c r="F28" s="297" t="s">
        <v>373</v>
      </c>
      <c r="G28" s="297" t="s">
        <v>374</v>
      </c>
      <c r="H28" s="297" t="s">
        <v>375</v>
      </c>
      <c r="I28" s="297" t="s">
        <v>376</v>
      </c>
      <c r="J28" s="297" t="s">
        <v>377</v>
      </c>
      <c r="K28" s="297" t="s">
        <v>378</v>
      </c>
      <c r="L28" s="297" t="s">
        <v>379</v>
      </c>
      <c r="M28" s="297" t="s">
        <v>380</v>
      </c>
      <c r="N28" s="297" t="s">
        <v>381</v>
      </c>
      <c r="O28" s="298" t="s">
        <v>1</v>
      </c>
    </row>
    <row r="29" spans="2:15" ht="13.5" thickBot="1">
      <c r="B29" s="299" t="s">
        <v>152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</row>
    <row r="30" spans="2:15" ht="13.5" thickBot="1">
      <c r="B30" s="301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</row>
    <row r="31" spans="2:15" ht="13.5" thickBot="1">
      <c r="B31" s="302" t="s">
        <v>137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</row>
    <row r="32" spans="2:15" ht="13.5" thickBot="1">
      <c r="B32" s="303" t="s">
        <v>393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2:15" ht="13.5" thickBot="1">
      <c r="B33" s="299" t="s">
        <v>390</v>
      </c>
      <c r="C33" s="300"/>
      <c r="D33" s="300"/>
      <c r="E33" s="300"/>
      <c r="F33" s="304">
        <v>48.19</v>
      </c>
      <c r="G33" s="304">
        <v>257.70999999999998</v>
      </c>
      <c r="H33" s="304">
        <v>257.70999999999998</v>
      </c>
      <c r="I33" s="304">
        <v>257.70999999999998</v>
      </c>
      <c r="J33" s="304">
        <v>257.70999999999998</v>
      </c>
      <c r="K33" s="304">
        <v>257.70999999999998</v>
      </c>
      <c r="L33" s="304">
        <v>257.70999999999998</v>
      </c>
      <c r="M33" s="304">
        <v>257.70999999999998</v>
      </c>
      <c r="N33" s="304">
        <v>257.70999999999998</v>
      </c>
      <c r="O33" s="304">
        <v>2109.91</v>
      </c>
    </row>
    <row r="34" spans="2:15" ht="13.5" thickBot="1">
      <c r="B34" s="299" t="s">
        <v>392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4">
        <v>0</v>
      </c>
    </row>
    <row r="35" spans="2:15" ht="13.5" thickBot="1">
      <c r="B35" s="299" t="s">
        <v>391</v>
      </c>
      <c r="C35" s="300"/>
      <c r="D35" s="300"/>
      <c r="E35" s="300"/>
      <c r="F35" s="300"/>
      <c r="G35" s="300"/>
      <c r="H35" s="300"/>
      <c r="I35" s="300"/>
      <c r="J35" s="300"/>
      <c r="K35" s="304">
        <f>+D25</f>
        <v>3540</v>
      </c>
      <c r="L35" s="304">
        <f>+D26</f>
        <v>21524.230956036288</v>
      </c>
      <c r="M35" s="300"/>
      <c r="N35" s="300"/>
      <c r="O35" s="304">
        <v>19090</v>
      </c>
    </row>
    <row r="36" spans="2:15" ht="13.5" thickBot="1">
      <c r="B36" s="299" t="s">
        <v>385</v>
      </c>
      <c r="C36" s="300"/>
      <c r="D36" s="304">
        <v>236</v>
      </c>
      <c r="E36" s="304">
        <v>236</v>
      </c>
      <c r="F36" s="304">
        <v>236</v>
      </c>
      <c r="G36" s="304">
        <v>236</v>
      </c>
      <c r="H36" s="304">
        <v>236</v>
      </c>
      <c r="I36" s="304">
        <v>236</v>
      </c>
      <c r="J36" s="304">
        <v>236</v>
      </c>
      <c r="K36" s="304">
        <v>236</v>
      </c>
      <c r="L36" s="304">
        <v>236</v>
      </c>
      <c r="M36" s="304">
        <v>236</v>
      </c>
      <c r="N36" s="304">
        <v>236</v>
      </c>
      <c r="O36" s="304">
        <v>2124</v>
      </c>
    </row>
    <row r="37" spans="2:15" ht="34.5" thickBot="1">
      <c r="B37" s="299" t="s">
        <v>386</v>
      </c>
      <c r="C37" s="300"/>
      <c r="D37" s="304">
        <v>3540</v>
      </c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4">
        <v>3540</v>
      </c>
    </row>
    <row r="38" spans="2:15" ht="13.5" thickBot="1">
      <c r="B38" s="299" t="s">
        <v>153</v>
      </c>
      <c r="C38" s="304">
        <v>0</v>
      </c>
      <c r="D38" s="304">
        <v>3776</v>
      </c>
      <c r="E38" s="304">
        <v>236</v>
      </c>
      <c r="F38" s="304">
        <v>284.19</v>
      </c>
      <c r="G38" s="304">
        <v>493.71</v>
      </c>
      <c r="H38" s="304">
        <v>493.71</v>
      </c>
      <c r="I38" s="304">
        <v>493.71</v>
      </c>
      <c r="J38" s="304">
        <v>493.71</v>
      </c>
      <c r="K38" s="304">
        <v>4063.71</v>
      </c>
      <c r="L38" s="304">
        <v>16013.71</v>
      </c>
      <c r="M38" s="304">
        <v>493.71</v>
      </c>
      <c r="N38" s="304">
        <v>493.71</v>
      </c>
      <c r="O38" s="304">
        <v>27335.87</v>
      </c>
    </row>
    <row r="39" spans="2:15" ht="13.5" thickBot="1">
      <c r="B39" s="301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4">
        <v>0</v>
      </c>
    </row>
    <row r="40" spans="2:15" ht="13.5" thickBot="1">
      <c r="B40" s="302" t="s">
        <v>154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4">
        <v>0</v>
      </c>
    </row>
    <row r="41" spans="2:15" ht="13.5" thickBot="1">
      <c r="B41" s="299" t="s">
        <v>388</v>
      </c>
      <c r="C41" s="306"/>
      <c r="D41" s="306"/>
      <c r="E41" s="307">
        <v>3570</v>
      </c>
      <c r="F41" s="307">
        <v>15520</v>
      </c>
      <c r="G41" s="306"/>
      <c r="H41" s="306"/>
      <c r="I41" s="306"/>
      <c r="J41" s="306"/>
      <c r="K41" s="307">
        <v>3570</v>
      </c>
      <c r="L41" s="307">
        <f>+D26</f>
        <v>21524.230956036288</v>
      </c>
      <c r="M41" s="306"/>
      <c r="N41" s="306"/>
      <c r="O41" s="304">
        <v>34610</v>
      </c>
    </row>
    <row r="42" spans="2:15" ht="13.5" thickBot="1">
      <c r="B42" s="299" t="s">
        <v>387</v>
      </c>
      <c r="C42" s="306"/>
      <c r="D42" s="306"/>
      <c r="E42" s="306"/>
      <c r="F42" s="300"/>
      <c r="G42" s="300"/>
      <c r="H42" s="300"/>
      <c r="I42" s="306"/>
      <c r="J42" s="306"/>
      <c r="K42" s="306"/>
      <c r="L42" s="306"/>
      <c r="M42" s="306"/>
      <c r="N42" s="306"/>
      <c r="O42" s="304">
        <v>0</v>
      </c>
    </row>
    <row r="43" spans="2:15" ht="13.5" thickBot="1">
      <c r="B43" s="299" t="s">
        <v>389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4">
        <v>0</v>
      </c>
    </row>
    <row r="44" spans="2:15" ht="34.5" thickBot="1">
      <c r="B44" s="308" t="s">
        <v>504</v>
      </c>
      <c r="C44" s="306"/>
      <c r="D44" s="306"/>
      <c r="E44" s="307">
        <v>15.73</v>
      </c>
      <c r="F44" s="307">
        <v>16.72</v>
      </c>
      <c r="G44" s="307">
        <v>17.7</v>
      </c>
      <c r="H44" s="307">
        <v>18.68</v>
      </c>
      <c r="I44" s="307">
        <v>19.670000000000002</v>
      </c>
      <c r="J44" s="307">
        <v>20.65</v>
      </c>
      <c r="K44" s="307">
        <v>21.63</v>
      </c>
      <c r="L44" s="307">
        <v>22.62</v>
      </c>
      <c r="M44" s="307">
        <v>23.6</v>
      </c>
      <c r="N44" s="307">
        <v>24.58</v>
      </c>
      <c r="O44" s="304">
        <v>201.58</v>
      </c>
    </row>
    <row r="45" spans="2:15" ht="13.5" thickBot="1">
      <c r="B45" s="301"/>
      <c r="C45" s="306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4">
        <v>0</v>
      </c>
    </row>
    <row r="46" spans="2:15" ht="13.5" thickBot="1">
      <c r="B46" s="309" t="s">
        <v>444</v>
      </c>
      <c r="C46" s="310">
        <v>0</v>
      </c>
      <c r="D46" s="310">
        <v>0</v>
      </c>
      <c r="E46" s="310">
        <f>SUM(E40:E44)</f>
        <v>3585.73</v>
      </c>
      <c r="F46" s="310">
        <f t="shared" ref="F46:N46" si="15">SUM(F40:F44)</f>
        <v>15536.72</v>
      </c>
      <c r="G46" s="310">
        <f t="shared" si="15"/>
        <v>17.7</v>
      </c>
      <c r="H46" s="310">
        <f t="shared" si="15"/>
        <v>18.68</v>
      </c>
      <c r="I46" s="310">
        <f t="shared" si="15"/>
        <v>19.670000000000002</v>
      </c>
      <c r="J46" s="310">
        <f t="shared" si="15"/>
        <v>20.65</v>
      </c>
      <c r="K46" s="310">
        <f t="shared" si="15"/>
        <v>3591.63</v>
      </c>
      <c r="L46" s="310">
        <f t="shared" si="15"/>
        <v>21546.850956036287</v>
      </c>
      <c r="M46" s="310">
        <f t="shared" si="15"/>
        <v>23.6</v>
      </c>
      <c r="N46" s="310">
        <f t="shared" si="15"/>
        <v>24.58</v>
      </c>
      <c r="O46" s="304">
        <v>38381.58</v>
      </c>
    </row>
    <row r="47" spans="2:15" ht="13.5" thickBot="1">
      <c r="B47" s="309" t="s">
        <v>445</v>
      </c>
      <c r="C47" s="310">
        <v>0</v>
      </c>
      <c r="D47" s="310">
        <v>3776</v>
      </c>
      <c r="E47" s="310">
        <v>-3349.73</v>
      </c>
      <c r="F47" s="310">
        <v>-15252.53</v>
      </c>
      <c r="G47" s="310">
        <v>476.01</v>
      </c>
      <c r="H47" s="310">
        <v>475.03</v>
      </c>
      <c r="I47" s="310">
        <v>474.04</v>
      </c>
      <c r="J47" s="310">
        <v>473.06</v>
      </c>
      <c r="K47" s="310">
        <v>472.08</v>
      </c>
      <c r="L47" s="310">
        <v>471.09</v>
      </c>
      <c r="M47" s="310">
        <v>470.11</v>
      </c>
      <c r="N47" s="310">
        <v>469.13</v>
      </c>
      <c r="O47" s="304">
        <v>-11045.71</v>
      </c>
    </row>
    <row r="48" spans="2:15" ht="13.5" thickBot="1">
      <c r="B48" s="309" t="s">
        <v>446</v>
      </c>
      <c r="C48" s="310">
        <v>0</v>
      </c>
      <c r="D48" s="310">
        <v>3776</v>
      </c>
      <c r="E48" s="310">
        <v>426.27</v>
      </c>
      <c r="F48" s="310">
        <v>-14826.26</v>
      </c>
      <c r="G48" s="310">
        <v>-14350.25</v>
      </c>
      <c r="H48" s="310">
        <v>-13875.22</v>
      </c>
      <c r="I48" s="310">
        <v>-13401.18</v>
      </c>
      <c r="J48" s="310">
        <v>-12928.12</v>
      </c>
      <c r="K48" s="310">
        <v>-12456.04</v>
      </c>
      <c r="L48" s="310">
        <v>-11984.95</v>
      </c>
      <c r="M48" s="310">
        <v>-11514.84</v>
      </c>
      <c r="N48" s="310">
        <v>-11045.71</v>
      </c>
      <c r="O48" s="304">
        <v>-112180.3</v>
      </c>
    </row>
    <row r="51" spans="2:15" ht="13.5" thickBot="1"/>
    <row r="52" spans="2:15">
      <c r="B52" s="244" t="s">
        <v>441</v>
      </c>
      <c r="C52" s="245" t="s">
        <v>371</v>
      </c>
      <c r="D52" s="245" t="s">
        <v>370</v>
      </c>
      <c r="E52" s="245" t="s">
        <v>372</v>
      </c>
      <c r="F52" s="245" t="s">
        <v>373</v>
      </c>
      <c r="G52" s="245" t="s">
        <v>374</v>
      </c>
      <c r="H52" s="245" t="s">
        <v>375</v>
      </c>
      <c r="I52" s="245" t="s">
        <v>376</v>
      </c>
      <c r="J52" s="245" t="s">
        <v>377</v>
      </c>
      <c r="K52" s="245" t="s">
        <v>378</v>
      </c>
      <c r="L52" s="245" t="s">
        <v>379</v>
      </c>
      <c r="M52" s="245" t="s">
        <v>380</v>
      </c>
      <c r="N52" s="245" t="s">
        <v>381</v>
      </c>
      <c r="O52" s="246" t="s">
        <v>2</v>
      </c>
    </row>
    <row r="53" spans="2:15">
      <c r="B53" s="247" t="s">
        <v>137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6"/>
    </row>
    <row r="54" spans="2:15">
      <c r="B54" s="248" t="s">
        <v>294</v>
      </c>
      <c r="C54" s="2">
        <v>0</v>
      </c>
      <c r="D54" s="2">
        <v>0</v>
      </c>
      <c r="E54" s="2">
        <f>6*55.36</f>
        <v>332.15999999999997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f>10*41.92</f>
        <v>419.20000000000005</v>
      </c>
      <c r="L54" s="2">
        <v>0</v>
      </c>
      <c r="M54" s="2">
        <v>0</v>
      </c>
      <c r="N54" s="2">
        <v>0</v>
      </c>
      <c r="O54" s="36">
        <v>773.38225551290998</v>
      </c>
    </row>
    <row r="55" spans="2:15">
      <c r="B55" s="248" t="s">
        <v>368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36">
        <f>SUM(C55:N55)</f>
        <v>0</v>
      </c>
    </row>
    <row r="56" spans="2:15">
      <c r="B56" s="248" t="s">
        <v>153</v>
      </c>
      <c r="C56" s="2">
        <f>SUM(C54:C55)</f>
        <v>0</v>
      </c>
      <c r="D56" s="2">
        <f t="shared" ref="D56:O56" si="16">SUM(D54:D55)</f>
        <v>0</v>
      </c>
      <c r="E56" s="2">
        <f t="shared" si="16"/>
        <v>332.15999999999997</v>
      </c>
      <c r="F56" s="2">
        <f t="shared" si="16"/>
        <v>0</v>
      </c>
      <c r="G56" s="2">
        <f t="shared" si="16"/>
        <v>0</v>
      </c>
      <c r="H56" s="2">
        <f t="shared" si="16"/>
        <v>0</v>
      </c>
      <c r="I56" s="2">
        <f t="shared" si="16"/>
        <v>0</v>
      </c>
      <c r="J56" s="2">
        <f t="shared" si="16"/>
        <v>0</v>
      </c>
      <c r="K56" s="2">
        <f t="shared" si="16"/>
        <v>419.20000000000005</v>
      </c>
      <c r="L56" s="2">
        <f t="shared" si="16"/>
        <v>0</v>
      </c>
      <c r="M56" s="2">
        <f t="shared" si="16"/>
        <v>0</v>
      </c>
      <c r="N56" s="2">
        <f t="shared" si="16"/>
        <v>0</v>
      </c>
      <c r="O56" s="36">
        <f t="shared" si="16"/>
        <v>773.38225551290998</v>
      </c>
    </row>
    <row r="57" spans="2:15">
      <c r="B57" s="24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6"/>
    </row>
    <row r="58" spans="2:15">
      <c r="B58" s="248" t="s">
        <v>154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6"/>
    </row>
    <row r="59" spans="2:15">
      <c r="B59" s="248" t="s">
        <v>295</v>
      </c>
      <c r="C59" s="2">
        <v>50</v>
      </c>
      <c r="D59" s="2">
        <v>50</v>
      </c>
      <c r="E59" s="2">
        <v>50</v>
      </c>
      <c r="F59" s="2">
        <v>50</v>
      </c>
      <c r="G59" s="2">
        <v>50</v>
      </c>
      <c r="H59" s="2">
        <v>50</v>
      </c>
      <c r="I59" s="2">
        <v>50</v>
      </c>
      <c r="J59" s="2">
        <v>50</v>
      </c>
      <c r="K59" s="2">
        <v>50</v>
      </c>
      <c r="L59" s="2">
        <v>50</v>
      </c>
      <c r="M59" s="2">
        <v>50</v>
      </c>
      <c r="N59" s="2">
        <v>85</v>
      </c>
      <c r="O59" s="36">
        <v>635</v>
      </c>
    </row>
    <row r="60" spans="2:15">
      <c r="B60" s="248" t="s">
        <v>296</v>
      </c>
      <c r="C60" s="2">
        <v>10</v>
      </c>
      <c r="D60" s="2">
        <v>10</v>
      </c>
      <c r="E60" s="2">
        <v>10</v>
      </c>
      <c r="F60" s="2">
        <v>10</v>
      </c>
      <c r="G60" s="2">
        <v>10</v>
      </c>
      <c r="H60" s="2">
        <v>10</v>
      </c>
      <c r="I60" s="2">
        <v>10</v>
      </c>
      <c r="J60" s="2">
        <v>10</v>
      </c>
      <c r="K60" s="2">
        <v>40</v>
      </c>
      <c r="L60" s="2">
        <v>10</v>
      </c>
      <c r="M60" s="2">
        <v>10</v>
      </c>
      <c r="N60" s="2">
        <v>10</v>
      </c>
      <c r="O60" s="36">
        <v>150</v>
      </c>
    </row>
    <row r="61" spans="2:15">
      <c r="B61" s="248" t="s">
        <v>297</v>
      </c>
      <c r="C61" s="2">
        <v>5</v>
      </c>
      <c r="D61" s="2">
        <v>5</v>
      </c>
      <c r="E61" s="2">
        <v>20</v>
      </c>
      <c r="F61" s="2">
        <v>5</v>
      </c>
      <c r="G61" s="2">
        <v>5</v>
      </c>
      <c r="H61" s="2">
        <v>5</v>
      </c>
      <c r="I61" s="2">
        <v>5</v>
      </c>
      <c r="J61" s="2">
        <v>5</v>
      </c>
      <c r="K61" s="2">
        <v>5</v>
      </c>
      <c r="L61" s="2">
        <v>5</v>
      </c>
      <c r="M61" s="2">
        <v>5</v>
      </c>
      <c r="N61" s="2">
        <v>25</v>
      </c>
      <c r="O61" s="36">
        <v>95</v>
      </c>
    </row>
    <row r="62" spans="2:15">
      <c r="B62" s="248" t="s">
        <v>298</v>
      </c>
      <c r="C62" s="2">
        <v>5</v>
      </c>
      <c r="D62" s="2">
        <v>5</v>
      </c>
      <c r="E62" s="2">
        <v>5</v>
      </c>
      <c r="F62" s="2">
        <v>5</v>
      </c>
      <c r="G62" s="2">
        <v>5</v>
      </c>
      <c r="H62" s="2">
        <v>5</v>
      </c>
      <c r="I62" s="2">
        <v>5</v>
      </c>
      <c r="J62" s="2">
        <v>5</v>
      </c>
      <c r="K62" s="2">
        <v>5</v>
      </c>
      <c r="L62" s="2">
        <v>5</v>
      </c>
      <c r="M62" s="2">
        <v>5</v>
      </c>
      <c r="N62" s="2">
        <v>5</v>
      </c>
      <c r="O62" s="36">
        <v>60</v>
      </c>
    </row>
    <row r="63" spans="2:15">
      <c r="B63" s="248" t="s">
        <v>58</v>
      </c>
      <c r="C63" s="2">
        <v>15</v>
      </c>
      <c r="D63" s="2">
        <v>15</v>
      </c>
      <c r="E63" s="2">
        <v>15</v>
      </c>
      <c r="F63" s="2">
        <v>15</v>
      </c>
      <c r="G63" s="2">
        <v>10</v>
      </c>
      <c r="H63" s="2">
        <v>15</v>
      </c>
      <c r="I63" s="2">
        <v>15</v>
      </c>
      <c r="J63" s="2">
        <v>15</v>
      </c>
      <c r="K63" s="2">
        <v>15</v>
      </c>
      <c r="L63" s="2">
        <v>15</v>
      </c>
      <c r="M63" s="2">
        <v>10</v>
      </c>
      <c r="N63" s="2">
        <v>20</v>
      </c>
      <c r="O63" s="36">
        <v>175</v>
      </c>
    </row>
    <row r="64" spans="2:15">
      <c r="B64" s="248" t="s">
        <v>352</v>
      </c>
      <c r="C64" s="2">
        <v>85</v>
      </c>
      <c r="D64" s="2">
        <v>85</v>
      </c>
      <c r="E64" s="2">
        <v>100</v>
      </c>
      <c r="F64" s="2">
        <v>85</v>
      </c>
      <c r="G64" s="2">
        <v>80</v>
      </c>
      <c r="H64" s="2">
        <v>85</v>
      </c>
      <c r="I64" s="2">
        <v>85</v>
      </c>
      <c r="J64" s="2">
        <v>85</v>
      </c>
      <c r="K64" s="2">
        <v>115</v>
      </c>
      <c r="L64" s="2">
        <v>85</v>
      </c>
      <c r="M64" s="2">
        <v>80</v>
      </c>
      <c r="N64" s="2">
        <v>145</v>
      </c>
      <c r="O64" s="36">
        <v>1115</v>
      </c>
    </row>
    <row r="65" spans="2:15">
      <c r="B65" s="24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6"/>
    </row>
    <row r="66" spans="2:15">
      <c r="B66" s="249" t="s">
        <v>438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6">
        <v>0</v>
      </c>
    </row>
    <row r="67" spans="2:15">
      <c r="B67" s="248" t="s">
        <v>356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36">
        <v>0</v>
      </c>
    </row>
    <row r="68" spans="2:15">
      <c r="B68" s="248" t="s">
        <v>329</v>
      </c>
      <c r="C68" s="2">
        <v>0</v>
      </c>
      <c r="D68" s="2">
        <v>0</v>
      </c>
      <c r="E68" s="2">
        <v>0</v>
      </c>
      <c r="F68" s="2">
        <v>14.862205163991627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9.5020655966503842</v>
      </c>
      <c r="M68" s="2">
        <v>0</v>
      </c>
      <c r="N68" s="2">
        <v>0</v>
      </c>
      <c r="O68" s="36">
        <v>24.364270760642011</v>
      </c>
    </row>
    <row r="69" spans="2:15">
      <c r="B69" s="248" t="s">
        <v>330</v>
      </c>
      <c r="C69" s="2">
        <v>0</v>
      </c>
      <c r="D69" s="2">
        <v>0</v>
      </c>
      <c r="E69" s="2">
        <v>0</v>
      </c>
      <c r="F69" s="2">
        <v>33.957886950453599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21.710780181437542</v>
      </c>
      <c r="M69" s="2">
        <v>0</v>
      </c>
      <c r="N69" s="2">
        <v>0</v>
      </c>
      <c r="O69" s="36">
        <v>55.668667131891141</v>
      </c>
    </row>
    <row r="70" spans="2:15">
      <c r="B70" s="248" t="s">
        <v>357</v>
      </c>
      <c r="C70" s="2">
        <v>0</v>
      </c>
      <c r="D70" s="2">
        <v>0</v>
      </c>
      <c r="E70" s="2">
        <v>0</v>
      </c>
      <c r="F70" s="2">
        <v>17.38427634333566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11.114537334263783</v>
      </c>
      <c r="M70" s="2">
        <v>0</v>
      </c>
      <c r="N70" s="2">
        <v>0</v>
      </c>
      <c r="O70" s="36">
        <v>28.498813677599443</v>
      </c>
    </row>
    <row r="71" spans="2:15">
      <c r="B71" s="248" t="s">
        <v>365</v>
      </c>
      <c r="C71" s="2">
        <v>0</v>
      </c>
      <c r="D71" s="2">
        <v>0</v>
      </c>
      <c r="E71" s="2">
        <v>0</v>
      </c>
      <c r="F71" s="2">
        <v>25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25</v>
      </c>
      <c r="M71" s="2">
        <v>0</v>
      </c>
      <c r="N71" s="2">
        <v>0</v>
      </c>
      <c r="O71" s="36">
        <v>50</v>
      </c>
    </row>
    <row r="72" spans="2:15">
      <c r="B72" s="248" t="s">
        <v>361</v>
      </c>
      <c r="C72" s="2">
        <f>SUM(C67:C70)</f>
        <v>0</v>
      </c>
      <c r="D72" s="2">
        <f t="shared" ref="D72:N72" si="17">SUM(D67:D70)</f>
        <v>0</v>
      </c>
      <c r="E72" s="2">
        <f t="shared" si="17"/>
        <v>0</v>
      </c>
      <c r="F72" s="2">
        <f>SUM(F67:F71)</f>
        <v>91.204368457780888</v>
      </c>
      <c r="G72" s="2">
        <f t="shared" si="17"/>
        <v>0</v>
      </c>
      <c r="H72" s="2">
        <f t="shared" si="17"/>
        <v>0</v>
      </c>
      <c r="I72" s="2">
        <f t="shared" si="17"/>
        <v>0</v>
      </c>
      <c r="J72" s="2">
        <f t="shared" si="17"/>
        <v>0</v>
      </c>
      <c r="K72" s="2">
        <f t="shared" si="17"/>
        <v>0</v>
      </c>
      <c r="L72" s="2">
        <f>SUM(L67:L71)</f>
        <v>67.327383112351711</v>
      </c>
      <c r="M72" s="2">
        <f t="shared" si="17"/>
        <v>0</v>
      </c>
      <c r="N72" s="2">
        <f t="shared" si="17"/>
        <v>0</v>
      </c>
      <c r="O72" s="36">
        <f>SUM(O68:O71)</f>
        <v>158.5317515701326</v>
      </c>
    </row>
    <row r="73" spans="2:15">
      <c r="B73" s="24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6"/>
    </row>
    <row r="74" spans="2:15">
      <c r="B74" s="249" t="s">
        <v>439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6">
        <v>0</v>
      </c>
    </row>
    <row r="75" spans="2:15">
      <c r="B75" s="248" t="s">
        <v>356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36">
        <v>0</v>
      </c>
    </row>
    <row r="76" spans="2:15">
      <c r="B76" s="248" t="s">
        <v>360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36">
        <v>0</v>
      </c>
    </row>
    <row r="77" spans="2:15">
      <c r="B77" s="248" t="s">
        <v>369</v>
      </c>
      <c r="C77" s="2">
        <v>0</v>
      </c>
      <c r="D77" s="2">
        <v>0</v>
      </c>
      <c r="E77" s="2">
        <v>15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15</v>
      </c>
      <c r="L77" s="2">
        <v>0</v>
      </c>
      <c r="M77" s="2">
        <v>0</v>
      </c>
      <c r="N77" s="2">
        <v>0</v>
      </c>
      <c r="O77" s="36">
        <v>30</v>
      </c>
    </row>
    <row r="78" spans="2:15">
      <c r="B78" s="248" t="s">
        <v>362</v>
      </c>
      <c r="C78" s="2">
        <f>SUM(C75:C77)</f>
        <v>0</v>
      </c>
      <c r="D78" s="2">
        <f t="shared" ref="D78:O78" si="18">SUM(D75:D77)</f>
        <v>0</v>
      </c>
      <c r="E78" s="2">
        <f t="shared" si="18"/>
        <v>15</v>
      </c>
      <c r="F78" s="2">
        <f t="shared" si="18"/>
        <v>0</v>
      </c>
      <c r="G78" s="2">
        <f t="shared" si="18"/>
        <v>0</v>
      </c>
      <c r="H78" s="2">
        <f t="shared" si="18"/>
        <v>0</v>
      </c>
      <c r="I78" s="2">
        <f t="shared" si="18"/>
        <v>0</v>
      </c>
      <c r="J78" s="2">
        <f t="shared" si="18"/>
        <v>0</v>
      </c>
      <c r="K78" s="2">
        <f t="shared" si="18"/>
        <v>15</v>
      </c>
      <c r="L78" s="2">
        <f t="shared" si="18"/>
        <v>0</v>
      </c>
      <c r="M78" s="2">
        <f t="shared" si="18"/>
        <v>0</v>
      </c>
      <c r="N78" s="2">
        <f t="shared" si="18"/>
        <v>0</v>
      </c>
      <c r="O78" s="36">
        <f t="shared" si="18"/>
        <v>30</v>
      </c>
    </row>
    <row r="79" spans="2:15">
      <c r="B79" s="24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6"/>
    </row>
    <row r="80" spans="2:15">
      <c r="B80" s="250" t="s">
        <v>138</v>
      </c>
      <c r="C80" s="2">
        <f>+C64+C72+C78</f>
        <v>85</v>
      </c>
      <c r="D80" s="2">
        <f t="shared" ref="D80:O80" si="19">+D64+D72+D78</f>
        <v>85</v>
      </c>
      <c r="E80" s="2">
        <f t="shared" si="19"/>
        <v>115</v>
      </c>
      <c r="F80" s="2">
        <f t="shared" si="19"/>
        <v>176.2043684577809</v>
      </c>
      <c r="G80" s="2">
        <f t="shared" si="19"/>
        <v>80</v>
      </c>
      <c r="H80" s="2">
        <f t="shared" si="19"/>
        <v>85</v>
      </c>
      <c r="I80" s="2">
        <f t="shared" si="19"/>
        <v>85</v>
      </c>
      <c r="J80" s="2">
        <f t="shared" si="19"/>
        <v>85</v>
      </c>
      <c r="K80" s="2">
        <f t="shared" si="19"/>
        <v>130</v>
      </c>
      <c r="L80" s="2">
        <f t="shared" si="19"/>
        <v>152.3273831123517</v>
      </c>
      <c r="M80" s="2">
        <f t="shared" si="19"/>
        <v>80</v>
      </c>
      <c r="N80" s="2">
        <f t="shared" si="19"/>
        <v>145</v>
      </c>
      <c r="O80" s="36">
        <f t="shared" si="19"/>
        <v>1303.5317515701327</v>
      </c>
    </row>
    <row r="81" spans="2:15">
      <c r="B81" s="25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6"/>
    </row>
    <row r="82" spans="2:15">
      <c r="B82" s="250" t="s">
        <v>355</v>
      </c>
      <c r="C82" s="2">
        <f>+C56-C80</f>
        <v>-85</v>
      </c>
      <c r="D82" s="2">
        <f t="shared" ref="D82:O82" si="20">+D56-D80</f>
        <v>-85</v>
      </c>
      <c r="E82" s="2">
        <f t="shared" si="20"/>
        <v>217.15999999999997</v>
      </c>
      <c r="F82" s="2">
        <f t="shared" si="20"/>
        <v>-176.2043684577809</v>
      </c>
      <c r="G82" s="2">
        <f t="shared" si="20"/>
        <v>-80</v>
      </c>
      <c r="H82" s="2">
        <f t="shared" si="20"/>
        <v>-85</v>
      </c>
      <c r="I82" s="2">
        <f t="shared" si="20"/>
        <v>-85</v>
      </c>
      <c r="J82" s="2">
        <f t="shared" si="20"/>
        <v>-85</v>
      </c>
      <c r="K82" s="2">
        <f t="shared" si="20"/>
        <v>289.20000000000005</v>
      </c>
      <c r="L82" s="2">
        <f t="shared" si="20"/>
        <v>-152.3273831123517</v>
      </c>
      <c r="M82" s="2">
        <f t="shared" si="20"/>
        <v>-80</v>
      </c>
      <c r="N82" s="2">
        <f t="shared" si="20"/>
        <v>-145</v>
      </c>
      <c r="O82" s="36">
        <f t="shared" si="20"/>
        <v>-530.14949605722268</v>
      </c>
    </row>
    <row r="83" spans="2:15" ht="13.5" thickBot="1">
      <c r="B83" s="251" t="s">
        <v>364</v>
      </c>
      <c r="C83" s="150">
        <f>+C82</f>
        <v>-85</v>
      </c>
      <c r="D83" s="150">
        <f>+C83+D82</f>
        <v>-170</v>
      </c>
      <c r="E83" s="150">
        <f>+D83+E82</f>
        <v>47.159999999999968</v>
      </c>
      <c r="F83" s="150">
        <f t="shared" ref="F83:O83" si="21">+E83+F82</f>
        <v>-129.04436845778093</v>
      </c>
      <c r="G83" s="150">
        <f t="shared" si="21"/>
        <v>-209.04436845778093</v>
      </c>
      <c r="H83" s="150">
        <f t="shared" si="21"/>
        <v>-294.04436845778093</v>
      </c>
      <c r="I83" s="150">
        <f t="shared" si="21"/>
        <v>-379.04436845778093</v>
      </c>
      <c r="J83" s="150">
        <f t="shared" si="21"/>
        <v>-464.04436845778093</v>
      </c>
      <c r="K83" s="150">
        <f t="shared" si="21"/>
        <v>-174.84436845778089</v>
      </c>
      <c r="L83" s="150">
        <f t="shared" si="21"/>
        <v>-327.17175157013259</v>
      </c>
      <c r="M83" s="150">
        <f t="shared" si="21"/>
        <v>-407.17175157013259</v>
      </c>
      <c r="N83" s="150">
        <f t="shared" si="21"/>
        <v>-552.17175157013253</v>
      </c>
      <c r="O83" s="150">
        <f t="shared" si="21"/>
        <v>-1082.3212476273552</v>
      </c>
    </row>
  </sheetData>
  <mergeCells count="1">
    <mergeCell ref="Q9:R9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6:B18"/>
  <sheetViews>
    <sheetView workbookViewId="0">
      <selection activeCell="D28" sqref="D28"/>
    </sheetView>
  </sheetViews>
  <sheetFormatPr baseColWidth="10" defaultRowHeight="12.75"/>
  <sheetData>
    <row r="6" spans="1:2">
      <c r="A6">
        <v>147</v>
      </c>
    </row>
    <row r="7" spans="1:2">
      <c r="A7">
        <v>327</v>
      </c>
    </row>
    <row r="8" spans="1:2">
      <c r="A8">
        <f>SUM(A6:A7)</f>
        <v>474</v>
      </c>
    </row>
    <row r="11" spans="1:2">
      <c r="A11">
        <f>719*66%</f>
        <v>474.54</v>
      </c>
    </row>
    <row r="12" spans="1:2">
      <c r="A12">
        <f>+A11/2</f>
        <v>237.27</v>
      </c>
    </row>
    <row r="15" spans="1:2">
      <c r="B15">
        <v>44493.49</v>
      </c>
    </row>
    <row r="16" spans="1:2">
      <c r="B16" s="254">
        <v>0.16200000000000001</v>
      </c>
    </row>
    <row r="17" spans="2:2">
      <c r="B17">
        <v>9</v>
      </c>
    </row>
    <row r="18" spans="2:2">
      <c r="B18">
        <f>+B15*B16*B17</f>
        <v>64871.508419999998</v>
      </c>
    </row>
  </sheetData>
  <pageMargins left="0.7" right="0.7" top="0.75" bottom="0.75" header="0.3" footer="0.3"/>
  <pageSetup paperSize="9" orientation="portrait" horizontalDpi="4294967293" verticalDpi="0" r:id="rId1"/>
  <legacyDrawing r:id="rId2"/>
  <oleObjects>
    <oleObject progId="Equation.3" shapeId="5121" r:id="rId3"/>
    <oleObject progId="Equation.3" shapeId="5122" r:id="rId4"/>
  </oleObjects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"/>
    </sheetView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P85"/>
  <sheetViews>
    <sheetView zoomScale="90" zoomScaleNormal="90" workbookViewId="0">
      <selection activeCell="F24" sqref="F24"/>
    </sheetView>
  </sheetViews>
  <sheetFormatPr baseColWidth="10" defaultRowHeight="12.75"/>
  <cols>
    <col min="2" max="15" width="20.7109375" customWidth="1"/>
  </cols>
  <sheetData>
    <row r="1" spans="2:16" ht="13.5" thickBot="1">
      <c r="B1" s="312"/>
      <c r="C1" s="318" t="s">
        <v>371</v>
      </c>
      <c r="D1" s="318" t="s">
        <v>370</v>
      </c>
      <c r="E1" s="318" t="s">
        <v>372</v>
      </c>
      <c r="F1" s="318" t="s">
        <v>373</v>
      </c>
      <c r="G1" s="318" t="s">
        <v>374</v>
      </c>
      <c r="H1" s="318" t="s">
        <v>375</v>
      </c>
      <c r="I1" s="318" t="s">
        <v>376</v>
      </c>
      <c r="J1" s="318" t="s">
        <v>377</v>
      </c>
      <c r="K1" s="318" t="s">
        <v>378</v>
      </c>
      <c r="L1" s="318" t="s">
        <v>379</v>
      </c>
      <c r="M1" s="318" t="s">
        <v>380</v>
      </c>
      <c r="N1" s="318" t="s">
        <v>381</v>
      </c>
      <c r="O1" s="319" t="s">
        <v>1</v>
      </c>
    </row>
    <row r="2" spans="2:16" ht="13.5" thickBot="1">
      <c r="B2" s="320" t="s">
        <v>152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2:16" ht="13.5" thickBot="1">
      <c r="B3" s="312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4" spans="2:16" ht="13.5" thickBot="1">
      <c r="B4" s="322" t="s">
        <v>137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spans="2:16" ht="13.5" thickBot="1">
      <c r="B5" s="313" t="s">
        <v>393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>
        <f>SUM(C5:N5)</f>
        <v>0</v>
      </c>
    </row>
    <row r="6" spans="2:16" ht="13.5" thickBot="1">
      <c r="B6" s="313" t="s">
        <v>515</v>
      </c>
      <c r="C6" s="321"/>
      <c r="D6" s="321"/>
      <c r="E6" s="323"/>
      <c r="F6" s="321">
        <v>15848.76</v>
      </c>
      <c r="G6" s="321"/>
      <c r="H6" s="321"/>
      <c r="I6" s="321"/>
      <c r="J6" s="321"/>
      <c r="K6" s="321"/>
      <c r="L6" s="321"/>
      <c r="M6" s="321"/>
      <c r="N6" s="321"/>
      <c r="O6" s="321">
        <f>SUM(C6:N6)</f>
        <v>15848.76</v>
      </c>
    </row>
    <row r="7" spans="2:16" ht="26.25" thickBot="1">
      <c r="B7" s="320" t="s">
        <v>390</v>
      </c>
      <c r="C7" s="321"/>
      <c r="D7" s="321"/>
      <c r="E7" s="321"/>
      <c r="F7" s="321">
        <f>+D27*F27</f>
        <v>47.79</v>
      </c>
      <c r="G7" s="323">
        <f>+($D$27+$D$28)*$F$27</f>
        <v>338.36711790648991</v>
      </c>
      <c r="H7" s="323">
        <f t="shared" ref="H7:L7" si="0">+($D$27+$D$28)*$F$27</f>
        <v>338.36711790648991</v>
      </c>
      <c r="I7" s="323">
        <f t="shared" si="0"/>
        <v>338.36711790648991</v>
      </c>
      <c r="J7" s="323">
        <f t="shared" si="0"/>
        <v>338.36711790648991</v>
      </c>
      <c r="K7" s="323">
        <f t="shared" si="0"/>
        <v>338.36711790648991</v>
      </c>
      <c r="L7" s="323">
        <f t="shared" si="0"/>
        <v>338.36711790648991</v>
      </c>
      <c r="M7" s="323">
        <f>+($L$20+$K$20)*$F$27</f>
        <v>262.29504259595257</v>
      </c>
      <c r="N7" s="323">
        <f>+($L$20+$K$20)*$F$27</f>
        <v>262.29504259595257</v>
      </c>
      <c r="O7" s="323">
        <f>SUM(C7:N7)</f>
        <v>2602.5827926308448</v>
      </c>
    </row>
    <row r="8" spans="2:16" ht="26.25" thickBot="1">
      <c r="B8" s="320" t="s">
        <v>392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3">
        <f t="shared" ref="O8:O15" si="1">SUM(C8:N8)</f>
        <v>0</v>
      </c>
    </row>
    <row r="9" spans="2:16" ht="26.25" thickBot="1">
      <c r="B9" s="320" t="s">
        <v>505</v>
      </c>
      <c r="C9" s="321"/>
      <c r="D9" s="321"/>
      <c r="E9" s="323">
        <f>+'FLUJO CENTRO ACOPIO'!E24+'FLUJO CENTRO ACOPIO'!E21</f>
        <v>4224.855795296</v>
      </c>
      <c r="F9" s="321">
        <v>0</v>
      </c>
      <c r="G9" s="321"/>
      <c r="H9" s="321"/>
      <c r="I9" s="321"/>
      <c r="J9" s="321"/>
      <c r="K9" s="323">
        <f>+'flujo proyectado  centro 5 años'!K9</f>
        <v>7120.3493196000018</v>
      </c>
      <c r="L9" s="321"/>
      <c r="M9" s="321"/>
      <c r="N9" s="321"/>
      <c r="O9" s="323">
        <f t="shared" si="1"/>
        <v>11345.205114896002</v>
      </c>
    </row>
    <row r="10" spans="2:16" ht="13.5" thickBot="1">
      <c r="B10" s="320" t="s">
        <v>513</v>
      </c>
      <c r="C10" s="321"/>
      <c r="D10" s="321"/>
      <c r="E10" s="321">
        <f>5*236</f>
        <v>1180</v>
      </c>
      <c r="F10" s="321">
        <f t="shared" ref="F10:N10" si="2">5*236</f>
        <v>1180</v>
      </c>
      <c r="G10" s="321">
        <f t="shared" si="2"/>
        <v>1180</v>
      </c>
      <c r="H10" s="321">
        <f t="shared" si="2"/>
        <v>1180</v>
      </c>
      <c r="I10" s="321">
        <f t="shared" si="2"/>
        <v>1180</v>
      </c>
      <c r="J10" s="321">
        <f t="shared" si="2"/>
        <v>1180</v>
      </c>
      <c r="K10" s="321">
        <f t="shared" si="2"/>
        <v>1180</v>
      </c>
      <c r="L10" s="321">
        <f t="shared" si="2"/>
        <v>1180</v>
      </c>
      <c r="M10" s="321">
        <f t="shared" si="2"/>
        <v>1180</v>
      </c>
      <c r="N10" s="321">
        <f t="shared" si="2"/>
        <v>1180</v>
      </c>
      <c r="O10" s="323">
        <f>SUM(E10:N10)</f>
        <v>11800</v>
      </c>
      <c r="P10" s="367"/>
    </row>
    <row r="11" spans="2:16" ht="13.5" thickBot="1">
      <c r="B11" s="320" t="s">
        <v>514</v>
      </c>
      <c r="C11" s="321"/>
      <c r="D11" s="321"/>
      <c r="E11" s="321">
        <v>3540</v>
      </c>
      <c r="F11" s="321"/>
      <c r="G11" s="321"/>
      <c r="H11" s="321"/>
      <c r="I11" s="321"/>
      <c r="J11" s="321"/>
      <c r="K11" s="321"/>
      <c r="L11" s="321"/>
      <c r="M11" s="321"/>
      <c r="N11" s="321"/>
      <c r="O11" s="323">
        <f>SUM(C11:N11)</f>
        <v>3540</v>
      </c>
    </row>
    <row r="12" spans="2:16" ht="13.5" thickBot="1">
      <c r="B12" s="320" t="s">
        <v>511</v>
      </c>
      <c r="C12" s="321">
        <f>+C37</f>
        <v>0</v>
      </c>
      <c r="D12" s="321">
        <f t="shared" ref="D12:N12" si="3">+D37</f>
        <v>0</v>
      </c>
      <c r="E12" s="321">
        <f t="shared" si="3"/>
        <v>0</v>
      </c>
      <c r="F12" s="321">
        <f t="shared" si="3"/>
        <v>0</v>
      </c>
      <c r="G12" s="321">
        <f t="shared" si="3"/>
        <v>0</v>
      </c>
      <c r="H12" s="321">
        <f t="shared" si="3"/>
        <v>0</v>
      </c>
      <c r="I12" s="321">
        <f t="shared" si="3"/>
        <v>0</v>
      </c>
      <c r="J12" s="321">
        <f t="shared" si="3"/>
        <v>0</v>
      </c>
      <c r="K12" s="321">
        <f t="shared" si="3"/>
        <v>3540</v>
      </c>
      <c r="L12" s="323">
        <f>+F20</f>
        <v>21524.230956036288</v>
      </c>
      <c r="M12" s="321">
        <f t="shared" si="3"/>
        <v>0</v>
      </c>
      <c r="N12" s="321">
        <f t="shared" si="3"/>
        <v>0</v>
      </c>
      <c r="O12" s="323">
        <f>SUM(C12:N12)</f>
        <v>25064.230956036288</v>
      </c>
    </row>
    <row r="13" spans="2:16" ht="13.5" thickBot="1">
      <c r="B13" s="320" t="s">
        <v>153</v>
      </c>
      <c r="C13" s="323">
        <f>SUM(C6:C12)</f>
        <v>0</v>
      </c>
      <c r="D13" s="323">
        <f t="shared" ref="D13" si="4">SUM(D6:D12)</f>
        <v>0</v>
      </c>
      <c r="E13" s="323">
        <f>SUM(E2:E12)</f>
        <v>8944.855795296</v>
      </c>
      <c r="F13" s="323">
        <f>SUM(F2:F12)</f>
        <v>17076.550000000003</v>
      </c>
      <c r="G13" s="323">
        <f t="shared" ref="G13:N13" si="5">SUM(G2:G12)</f>
        <v>1518.36711790649</v>
      </c>
      <c r="H13" s="323">
        <f t="shared" si="5"/>
        <v>1518.36711790649</v>
      </c>
      <c r="I13" s="323">
        <f t="shared" si="5"/>
        <v>1518.36711790649</v>
      </c>
      <c r="J13" s="323">
        <f t="shared" si="5"/>
        <v>1518.36711790649</v>
      </c>
      <c r="K13" s="323">
        <f t="shared" si="5"/>
        <v>12178.716437506491</v>
      </c>
      <c r="L13" s="323">
        <f t="shared" si="5"/>
        <v>23042.59807394278</v>
      </c>
      <c r="M13" s="323">
        <f t="shared" si="5"/>
        <v>1442.2950425959525</v>
      </c>
      <c r="N13" s="323">
        <f t="shared" si="5"/>
        <v>1442.2950425959525</v>
      </c>
      <c r="O13" s="323">
        <f>SUM(C13:N13)</f>
        <v>70200.778863563159</v>
      </c>
    </row>
    <row r="14" spans="2:16" ht="13.5" thickBot="1">
      <c r="B14" s="312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3">
        <f t="shared" si="1"/>
        <v>0</v>
      </c>
    </row>
    <row r="15" spans="2:16" ht="13.5" thickBot="1">
      <c r="B15" s="322" t="s">
        <v>154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3">
        <f t="shared" si="1"/>
        <v>0</v>
      </c>
    </row>
    <row r="16" spans="2:16" ht="13.5" thickBot="1">
      <c r="B16" s="320" t="s">
        <v>389</v>
      </c>
      <c r="C16" s="325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3">
        <f>SUM(C16:N16)</f>
        <v>0</v>
      </c>
    </row>
    <row r="17" spans="2:15" ht="39" thickBot="1">
      <c r="B17" s="327" t="s">
        <v>510</v>
      </c>
      <c r="C17" s="325">
        <f t="shared" ref="C17:C18" si="6">SUM(C14)</f>
        <v>0</v>
      </c>
      <c r="D17" s="326"/>
      <c r="E17" s="326">
        <f>+$D$26*$F$26</f>
        <v>8.85</v>
      </c>
      <c r="F17" s="326">
        <f t="shared" ref="F17:N17" si="7">+$D$26*$F$26</f>
        <v>8.85</v>
      </c>
      <c r="G17" s="326">
        <f t="shared" si="7"/>
        <v>8.85</v>
      </c>
      <c r="H17" s="326">
        <f t="shared" si="7"/>
        <v>8.85</v>
      </c>
      <c r="I17" s="326">
        <f t="shared" si="7"/>
        <v>8.85</v>
      </c>
      <c r="J17" s="326">
        <f t="shared" si="7"/>
        <v>8.85</v>
      </c>
      <c r="K17" s="326">
        <f t="shared" si="7"/>
        <v>8.85</v>
      </c>
      <c r="L17" s="326">
        <f t="shared" si="7"/>
        <v>8.85</v>
      </c>
      <c r="M17" s="326">
        <f t="shared" si="7"/>
        <v>8.85</v>
      </c>
      <c r="N17" s="326">
        <f t="shared" si="7"/>
        <v>8.85</v>
      </c>
      <c r="O17" s="323">
        <f t="shared" ref="O17:O20" si="8">SUM(C17:N17)</f>
        <v>88.499999999999986</v>
      </c>
    </row>
    <row r="18" spans="2:15" ht="13.5" thickBot="1">
      <c r="B18" s="312" t="s">
        <v>509</v>
      </c>
      <c r="C18" s="325">
        <f t="shared" si="6"/>
        <v>0</v>
      </c>
      <c r="D18" s="326"/>
      <c r="E18" s="323">
        <f>+$F$26*$E$10</f>
        <v>2.95</v>
      </c>
      <c r="F18" s="323">
        <f t="shared" ref="F18:N18" si="9">+$F$26*$E$10</f>
        <v>2.95</v>
      </c>
      <c r="G18" s="323">
        <f t="shared" si="9"/>
        <v>2.95</v>
      </c>
      <c r="H18" s="323">
        <f t="shared" si="9"/>
        <v>2.95</v>
      </c>
      <c r="I18" s="323">
        <f t="shared" si="9"/>
        <v>2.95</v>
      </c>
      <c r="J18" s="323">
        <f t="shared" si="9"/>
        <v>2.95</v>
      </c>
      <c r="K18" s="323">
        <f t="shared" si="9"/>
        <v>2.95</v>
      </c>
      <c r="L18" s="323">
        <f t="shared" si="9"/>
        <v>2.95</v>
      </c>
      <c r="M18" s="323">
        <f t="shared" si="9"/>
        <v>2.95</v>
      </c>
      <c r="N18" s="323">
        <f t="shared" si="9"/>
        <v>2.95</v>
      </c>
      <c r="O18" s="323">
        <f t="shared" si="8"/>
        <v>29.499999999999996</v>
      </c>
    </row>
    <row r="19" spans="2:15" ht="13.5" thickBot="1">
      <c r="B19" s="312" t="s">
        <v>516</v>
      </c>
      <c r="C19" s="325"/>
      <c r="D19" s="325"/>
      <c r="E19" s="325">
        <f>+'FLUJO FONDO COOP'!E30</f>
        <v>482.24749999999995</v>
      </c>
      <c r="F19" s="325">
        <f>+'FLUJO FONDO COOP'!F30</f>
        <v>482.24749999999995</v>
      </c>
      <c r="G19" s="325">
        <f>+'FLUJO FONDO COOP'!G30</f>
        <v>482.24749999999995</v>
      </c>
      <c r="H19" s="325">
        <f>+'FLUJO FONDO COOP'!H30</f>
        <v>482.24749999999995</v>
      </c>
      <c r="I19" s="325">
        <f>+'FLUJO FONDO COOP'!I30</f>
        <v>482.24749999999995</v>
      </c>
      <c r="J19" s="325">
        <f>+'FLUJO FONDO COOP'!J30</f>
        <v>482.24749999999995</v>
      </c>
      <c r="K19" s="325">
        <f>+'FLUJO FONDO COOP'!K30</f>
        <v>482.24749999999995</v>
      </c>
      <c r="L19" s="325">
        <f>+'FLUJO FONDO COOP'!L30</f>
        <v>482.24749999999995</v>
      </c>
      <c r="M19" s="325">
        <f>+'FLUJO FONDO COOP'!M30</f>
        <v>482.24749999999995</v>
      </c>
      <c r="N19" s="325">
        <f>+'FLUJO FONDO COOP'!N30</f>
        <v>482.24749999999995</v>
      </c>
      <c r="O19" s="323">
        <f t="shared" si="8"/>
        <v>4822.4749999999985</v>
      </c>
    </row>
    <row r="20" spans="2:15" ht="13.5" thickBot="1">
      <c r="B20" s="102" t="s">
        <v>512</v>
      </c>
      <c r="C20" s="325">
        <f>SUM(C16)</f>
        <v>0</v>
      </c>
      <c r="D20" s="323"/>
      <c r="E20" s="328">
        <f>+E80*236</f>
        <v>3540</v>
      </c>
      <c r="F20" s="328">
        <f>+F74*236</f>
        <v>21524.230956036288</v>
      </c>
      <c r="G20" s="328"/>
      <c r="H20" s="328"/>
      <c r="I20" s="328"/>
      <c r="J20" s="328"/>
      <c r="K20" s="328">
        <f>236*K80</f>
        <v>3540</v>
      </c>
      <c r="L20" s="328">
        <f>236*L74</f>
        <v>15889.262414515004</v>
      </c>
      <c r="M20" s="328"/>
      <c r="N20" s="328"/>
      <c r="O20" s="323">
        <f t="shared" si="8"/>
        <v>44493.493370551296</v>
      </c>
    </row>
    <row r="21" spans="2:15" ht="13.5" thickBot="1">
      <c r="B21" s="102" t="s">
        <v>525</v>
      </c>
      <c r="C21" s="325"/>
      <c r="D21" s="323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>
        <f>SUM(C21:N21)</f>
        <v>0</v>
      </c>
    </row>
    <row r="22" spans="2:15" ht="13.5" thickBot="1">
      <c r="B22" s="324" t="s">
        <v>444</v>
      </c>
      <c r="C22" s="329">
        <f>SUM(C20)</f>
        <v>0</v>
      </c>
      <c r="D22" s="329">
        <f t="shared" ref="D22" si="10">SUM(D20)</f>
        <v>0</v>
      </c>
      <c r="E22" s="329">
        <f>SUM(E17:E21)</f>
        <v>4034.0475000000001</v>
      </c>
      <c r="F22" s="329">
        <f t="shared" ref="F22:N22" si="11">SUM(F17:F20)</f>
        <v>22018.278456036289</v>
      </c>
      <c r="G22" s="329">
        <f t="shared" si="11"/>
        <v>494.04749999999996</v>
      </c>
      <c r="H22" s="329">
        <f t="shared" si="11"/>
        <v>494.04749999999996</v>
      </c>
      <c r="I22" s="329">
        <f t="shared" si="11"/>
        <v>494.04749999999996</v>
      </c>
      <c r="J22" s="329">
        <f t="shared" si="11"/>
        <v>494.04749999999996</v>
      </c>
      <c r="K22" s="329">
        <f t="shared" si="11"/>
        <v>4034.0475000000001</v>
      </c>
      <c r="L22" s="329">
        <f>SUM(L17:L21)</f>
        <v>16383.309914515004</v>
      </c>
      <c r="M22" s="329">
        <f t="shared" si="11"/>
        <v>494.04749999999996</v>
      </c>
      <c r="N22" s="329">
        <f t="shared" si="11"/>
        <v>494.04749999999996</v>
      </c>
      <c r="O22" s="329">
        <f>SUM(O17:O21)</f>
        <v>49433.968370551294</v>
      </c>
    </row>
    <row r="23" spans="2:15" ht="13.5" thickBot="1">
      <c r="B23" s="324" t="s">
        <v>445</v>
      </c>
      <c r="C23" s="329">
        <f t="shared" ref="C23:N23" si="12">+C13-C22</f>
        <v>0</v>
      </c>
      <c r="D23" s="329">
        <f t="shared" si="12"/>
        <v>0</v>
      </c>
      <c r="E23" s="329">
        <f>+E13-E22</f>
        <v>4910.8082952959994</v>
      </c>
      <c r="F23" s="329">
        <f>+F13-F22</f>
        <v>-4941.7284560362859</v>
      </c>
      <c r="G23" s="329">
        <f>+G13-G22</f>
        <v>1024.3196179064901</v>
      </c>
      <c r="H23" s="329">
        <f t="shared" si="12"/>
        <v>1024.3196179064901</v>
      </c>
      <c r="I23" s="329">
        <f t="shared" si="12"/>
        <v>1024.3196179064901</v>
      </c>
      <c r="J23" s="329">
        <f t="shared" si="12"/>
        <v>1024.3196179064901</v>
      </c>
      <c r="K23" s="329">
        <f t="shared" si="12"/>
        <v>8144.6689375064907</v>
      </c>
      <c r="L23" s="329">
        <f t="shared" si="12"/>
        <v>6659.2881594277751</v>
      </c>
      <c r="M23" s="329">
        <f t="shared" si="12"/>
        <v>948.24754259595261</v>
      </c>
      <c r="N23" s="329">
        <f t="shared" si="12"/>
        <v>948.24754259595261</v>
      </c>
      <c r="O23" s="329">
        <f>+O13-O22</f>
        <v>20766.810493011864</v>
      </c>
    </row>
    <row r="24" spans="2:15" ht="13.5" thickBot="1">
      <c r="B24" s="324" t="s">
        <v>446</v>
      </c>
      <c r="C24" s="324">
        <v>0</v>
      </c>
      <c r="D24" s="329">
        <f>+C24+D23</f>
        <v>0</v>
      </c>
      <c r="E24" s="329">
        <f>+D24+E23</f>
        <v>4910.8082952959994</v>
      </c>
      <c r="F24" s="329">
        <f t="shared" ref="F24:M24" si="13">+E24+F23</f>
        <v>-30.920160740286519</v>
      </c>
      <c r="G24" s="329">
        <f>+F24+G23</f>
        <v>993.39945716620355</v>
      </c>
      <c r="H24" s="329">
        <f t="shared" si="13"/>
        <v>2017.7190750726936</v>
      </c>
      <c r="I24" s="329">
        <f t="shared" si="13"/>
        <v>3042.0386929791839</v>
      </c>
      <c r="J24" s="329">
        <f t="shared" si="13"/>
        <v>4066.3583108856737</v>
      </c>
      <c r="K24" s="329">
        <f t="shared" si="13"/>
        <v>12211.027248392165</v>
      </c>
      <c r="L24" s="329">
        <f t="shared" si="13"/>
        <v>18870.31540781994</v>
      </c>
      <c r="M24" s="329">
        <f t="shared" si="13"/>
        <v>19818.562950415893</v>
      </c>
      <c r="N24" s="329">
        <f>+M24+N23</f>
        <v>20766.810493011846</v>
      </c>
      <c r="O24" s="323"/>
    </row>
    <row r="25" spans="2:15"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4"/>
    </row>
    <row r="26" spans="2:15">
      <c r="B26" s="295"/>
      <c r="C26" s="295"/>
      <c r="D26" s="295">
        <v>3540</v>
      </c>
      <c r="E26" s="311">
        <v>0.03</v>
      </c>
      <c r="F26" s="295">
        <f>+E26/12</f>
        <v>2.5000000000000001E-3</v>
      </c>
      <c r="G26" s="295">
        <f>17631.41+15848.76</f>
        <v>33480.17</v>
      </c>
      <c r="H26" s="295"/>
      <c r="I26" s="295"/>
      <c r="J26" s="295"/>
      <c r="K26" s="295"/>
      <c r="L26" s="295"/>
      <c r="M26" s="295"/>
      <c r="N26" s="295"/>
      <c r="O26" s="293"/>
    </row>
    <row r="27" spans="2:15">
      <c r="D27">
        <v>3540</v>
      </c>
      <c r="E27" s="254">
        <v>0.16200000000000001</v>
      </c>
      <c r="F27" s="254">
        <f>+E27/12</f>
        <v>1.35E-2</v>
      </c>
      <c r="G27">
        <f>+G26*0.2</f>
        <v>6696.0339999999997</v>
      </c>
    </row>
    <row r="28" spans="2:15">
      <c r="D28" s="37">
        <f>+F20</f>
        <v>21524.230956036288</v>
      </c>
    </row>
    <row r="29" spans="2:15" ht="13.5" hidden="1" thickBot="1"/>
    <row r="30" spans="2:15" ht="13.5" hidden="1" thickBot="1">
      <c r="B30" s="296"/>
      <c r="C30" s="297" t="s">
        <v>371</v>
      </c>
      <c r="D30" s="297" t="s">
        <v>370</v>
      </c>
      <c r="E30" s="297" t="s">
        <v>372</v>
      </c>
      <c r="F30" s="297" t="s">
        <v>373</v>
      </c>
      <c r="G30" s="297" t="s">
        <v>374</v>
      </c>
      <c r="H30" s="297" t="s">
        <v>375</v>
      </c>
      <c r="I30" s="297" t="s">
        <v>376</v>
      </c>
      <c r="J30" s="297" t="s">
        <v>377</v>
      </c>
      <c r="K30" s="297" t="s">
        <v>378</v>
      </c>
      <c r="L30" s="297" t="s">
        <v>379</v>
      </c>
      <c r="M30" s="297" t="s">
        <v>380</v>
      </c>
      <c r="N30" s="297" t="s">
        <v>381</v>
      </c>
      <c r="O30" s="298" t="s">
        <v>1</v>
      </c>
    </row>
    <row r="31" spans="2:15" ht="13.5" hidden="1" thickBot="1">
      <c r="B31" s="299" t="s">
        <v>152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</row>
    <row r="32" spans="2:15" ht="13.5" hidden="1" thickBot="1">
      <c r="B32" s="301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2:15" ht="13.5" hidden="1" thickBot="1">
      <c r="B33" s="302" t="s">
        <v>137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</row>
    <row r="34" spans="2:15" ht="13.5" hidden="1" thickBot="1">
      <c r="B34" s="303" t="s">
        <v>393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</row>
    <row r="35" spans="2:15" ht="13.5" hidden="1" thickBot="1">
      <c r="B35" s="299" t="s">
        <v>390</v>
      </c>
      <c r="C35" s="300"/>
      <c r="D35" s="300"/>
      <c r="E35" s="300"/>
      <c r="F35" s="304">
        <v>48.19</v>
      </c>
      <c r="G35" s="304">
        <v>257.70999999999998</v>
      </c>
      <c r="H35" s="304">
        <v>257.70999999999998</v>
      </c>
      <c r="I35" s="304">
        <v>257.70999999999998</v>
      </c>
      <c r="J35" s="304">
        <v>257.70999999999998</v>
      </c>
      <c r="K35" s="304">
        <v>257.70999999999998</v>
      </c>
      <c r="L35" s="304">
        <v>257.70999999999998</v>
      </c>
      <c r="M35" s="304">
        <v>257.70999999999998</v>
      </c>
      <c r="N35" s="304">
        <v>257.70999999999998</v>
      </c>
      <c r="O35" s="304">
        <v>2109.91</v>
      </c>
    </row>
    <row r="36" spans="2:15" ht="13.5" hidden="1" thickBot="1">
      <c r="B36" s="299" t="s">
        <v>392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4">
        <v>0</v>
      </c>
    </row>
    <row r="37" spans="2:15" ht="13.5" hidden="1" thickBot="1">
      <c r="B37" s="299" t="s">
        <v>391</v>
      </c>
      <c r="C37" s="300"/>
      <c r="D37" s="300"/>
      <c r="E37" s="300"/>
      <c r="F37" s="300"/>
      <c r="G37" s="300"/>
      <c r="H37" s="300"/>
      <c r="I37" s="300"/>
      <c r="J37" s="300"/>
      <c r="K37" s="304">
        <f>+D27</f>
        <v>3540</v>
      </c>
      <c r="L37" s="304">
        <f>+D28</f>
        <v>21524.230956036288</v>
      </c>
      <c r="M37" s="300"/>
      <c r="N37" s="300"/>
      <c r="O37" s="304">
        <v>19090</v>
      </c>
    </row>
    <row r="38" spans="2:15" ht="13.5" hidden="1" thickBot="1">
      <c r="B38" s="299" t="s">
        <v>385</v>
      </c>
      <c r="C38" s="300"/>
      <c r="D38" s="304">
        <v>236</v>
      </c>
      <c r="E38" s="304">
        <v>236</v>
      </c>
      <c r="F38" s="304">
        <v>236</v>
      </c>
      <c r="G38" s="304">
        <v>236</v>
      </c>
      <c r="H38" s="304">
        <v>236</v>
      </c>
      <c r="I38" s="304">
        <v>236</v>
      </c>
      <c r="J38" s="304">
        <v>236</v>
      </c>
      <c r="K38" s="304">
        <v>236</v>
      </c>
      <c r="L38" s="304">
        <v>236</v>
      </c>
      <c r="M38" s="304">
        <v>236</v>
      </c>
      <c r="N38" s="304">
        <v>236</v>
      </c>
      <c r="O38" s="304">
        <v>2124</v>
      </c>
    </row>
    <row r="39" spans="2:15" ht="34.5" hidden="1" thickBot="1">
      <c r="B39" s="299" t="s">
        <v>386</v>
      </c>
      <c r="C39" s="300"/>
      <c r="D39" s="304">
        <v>3540</v>
      </c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4">
        <v>3540</v>
      </c>
    </row>
    <row r="40" spans="2:15" ht="13.5" hidden="1" thickBot="1">
      <c r="B40" s="299" t="s">
        <v>153</v>
      </c>
      <c r="C40" s="304">
        <v>0</v>
      </c>
      <c r="D40" s="304">
        <v>3776</v>
      </c>
      <c r="E40" s="304">
        <v>236</v>
      </c>
      <c r="F40" s="304">
        <v>284.19</v>
      </c>
      <c r="G40" s="304">
        <v>493.71</v>
      </c>
      <c r="H40" s="304">
        <v>493.71</v>
      </c>
      <c r="I40" s="304">
        <v>493.71</v>
      </c>
      <c r="J40" s="304">
        <v>493.71</v>
      </c>
      <c r="K40" s="304">
        <v>4063.71</v>
      </c>
      <c r="L40" s="304">
        <v>16013.71</v>
      </c>
      <c r="M40" s="304">
        <v>493.71</v>
      </c>
      <c r="N40" s="304">
        <v>493.71</v>
      </c>
      <c r="O40" s="304">
        <v>27335.87</v>
      </c>
    </row>
    <row r="41" spans="2:15" ht="13.5" hidden="1" thickBot="1">
      <c r="B41" s="301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4">
        <v>0</v>
      </c>
    </row>
    <row r="42" spans="2:15" ht="13.5" hidden="1" thickBot="1">
      <c r="B42" s="302" t="s">
        <v>154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4">
        <v>0</v>
      </c>
    </row>
    <row r="43" spans="2:15" ht="13.5" hidden="1" thickBot="1">
      <c r="B43" s="299" t="s">
        <v>388</v>
      </c>
      <c r="C43" s="306"/>
      <c r="D43" s="306"/>
      <c r="E43" s="307">
        <v>3570</v>
      </c>
      <c r="F43" s="307">
        <v>15520</v>
      </c>
      <c r="G43" s="306"/>
      <c r="H43" s="306"/>
      <c r="I43" s="306"/>
      <c r="J43" s="306"/>
      <c r="K43" s="307">
        <v>3570</v>
      </c>
      <c r="L43" s="307">
        <f>+D28</f>
        <v>21524.230956036288</v>
      </c>
      <c r="M43" s="306"/>
      <c r="N43" s="306"/>
      <c r="O43" s="304">
        <v>34610</v>
      </c>
    </row>
    <row r="44" spans="2:15" ht="13.5" hidden="1" thickBot="1">
      <c r="B44" s="299" t="s">
        <v>387</v>
      </c>
      <c r="C44" s="306"/>
      <c r="D44" s="306"/>
      <c r="E44" s="306"/>
      <c r="F44" s="300"/>
      <c r="G44" s="300"/>
      <c r="H44" s="300"/>
      <c r="I44" s="306"/>
      <c r="J44" s="306"/>
      <c r="K44" s="306"/>
      <c r="L44" s="306"/>
      <c r="M44" s="306"/>
      <c r="N44" s="306"/>
      <c r="O44" s="304">
        <v>0</v>
      </c>
    </row>
    <row r="45" spans="2:15" ht="13.5" hidden="1" thickBot="1">
      <c r="B45" s="299" t="s">
        <v>389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4">
        <v>0</v>
      </c>
    </row>
    <row r="46" spans="2:15" ht="34.5" hidden="1" thickBot="1">
      <c r="B46" s="308" t="s">
        <v>504</v>
      </c>
      <c r="C46" s="306"/>
      <c r="D46" s="306"/>
      <c r="E46" s="307">
        <v>15.73</v>
      </c>
      <c r="F46" s="307">
        <v>16.72</v>
      </c>
      <c r="G46" s="307">
        <v>17.7</v>
      </c>
      <c r="H46" s="307">
        <v>18.68</v>
      </c>
      <c r="I46" s="307">
        <v>19.670000000000002</v>
      </c>
      <c r="J46" s="307">
        <v>20.65</v>
      </c>
      <c r="K46" s="307">
        <v>21.63</v>
      </c>
      <c r="L46" s="307">
        <v>22.62</v>
      </c>
      <c r="M46" s="307">
        <v>23.6</v>
      </c>
      <c r="N46" s="307">
        <v>24.58</v>
      </c>
      <c r="O46" s="304">
        <v>201.58</v>
      </c>
    </row>
    <row r="47" spans="2:15" ht="13.5" hidden="1" thickBot="1">
      <c r="B47" s="301"/>
      <c r="C47" s="306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4">
        <v>0</v>
      </c>
    </row>
    <row r="48" spans="2:15" ht="13.5" hidden="1" thickBot="1">
      <c r="B48" s="309" t="s">
        <v>444</v>
      </c>
      <c r="C48" s="310">
        <v>0</v>
      </c>
      <c r="D48" s="310">
        <v>0</v>
      </c>
      <c r="E48" s="310">
        <f>SUM(E42:E46)</f>
        <v>3585.73</v>
      </c>
      <c r="F48" s="310">
        <f t="shared" ref="F48:N48" si="14">SUM(F42:F46)</f>
        <v>15536.72</v>
      </c>
      <c r="G48" s="310">
        <f t="shared" si="14"/>
        <v>17.7</v>
      </c>
      <c r="H48" s="310">
        <f t="shared" si="14"/>
        <v>18.68</v>
      </c>
      <c r="I48" s="310">
        <f t="shared" si="14"/>
        <v>19.670000000000002</v>
      </c>
      <c r="J48" s="310">
        <f t="shared" si="14"/>
        <v>20.65</v>
      </c>
      <c r="K48" s="310">
        <f t="shared" si="14"/>
        <v>3591.63</v>
      </c>
      <c r="L48" s="310">
        <f t="shared" si="14"/>
        <v>21546.850956036287</v>
      </c>
      <c r="M48" s="310">
        <f t="shared" si="14"/>
        <v>23.6</v>
      </c>
      <c r="N48" s="310">
        <f t="shared" si="14"/>
        <v>24.58</v>
      </c>
      <c r="O48" s="304">
        <v>38381.58</v>
      </c>
    </row>
    <row r="49" spans="2:15" ht="13.5" hidden="1" thickBot="1">
      <c r="B49" s="309" t="s">
        <v>445</v>
      </c>
      <c r="C49" s="310">
        <v>0</v>
      </c>
      <c r="D49" s="310">
        <v>3776</v>
      </c>
      <c r="E49" s="310">
        <v>-3349.73</v>
      </c>
      <c r="F49" s="310">
        <v>-15252.53</v>
      </c>
      <c r="G49" s="310">
        <v>476.01</v>
      </c>
      <c r="H49" s="310">
        <v>475.03</v>
      </c>
      <c r="I49" s="310">
        <v>474.04</v>
      </c>
      <c r="J49" s="310">
        <v>473.06</v>
      </c>
      <c r="K49" s="310">
        <v>472.08</v>
      </c>
      <c r="L49" s="310">
        <v>471.09</v>
      </c>
      <c r="M49" s="310">
        <v>470.11</v>
      </c>
      <c r="N49" s="310">
        <v>469.13</v>
      </c>
      <c r="O49" s="304">
        <v>-11045.71</v>
      </c>
    </row>
    <row r="50" spans="2:15" ht="13.5" hidden="1" thickBot="1">
      <c r="B50" s="309" t="s">
        <v>446</v>
      </c>
      <c r="C50" s="310">
        <v>0</v>
      </c>
      <c r="D50" s="310">
        <v>3776</v>
      </c>
      <c r="E50" s="310">
        <v>426.27</v>
      </c>
      <c r="F50" s="310">
        <v>-14826.26</v>
      </c>
      <c r="G50" s="310">
        <v>-14350.25</v>
      </c>
      <c r="H50" s="310">
        <v>-13875.22</v>
      </c>
      <c r="I50" s="310">
        <v>-13401.18</v>
      </c>
      <c r="J50" s="310">
        <v>-12928.12</v>
      </c>
      <c r="K50" s="310">
        <v>-12456.04</v>
      </c>
      <c r="L50" s="310">
        <v>-11984.95</v>
      </c>
      <c r="M50" s="310">
        <v>-11514.84</v>
      </c>
      <c r="N50" s="310">
        <v>-11045.71</v>
      </c>
      <c r="O50" s="304">
        <v>-112180.3</v>
      </c>
    </row>
    <row r="51" spans="2:15" hidden="1"/>
    <row r="52" spans="2:15" hidden="1"/>
    <row r="53" spans="2:15" ht="13.5" hidden="1" thickBot="1"/>
    <row r="54" spans="2:15" hidden="1">
      <c r="B54" s="244" t="s">
        <v>441</v>
      </c>
      <c r="C54" s="245" t="s">
        <v>371</v>
      </c>
      <c r="D54" s="245" t="s">
        <v>370</v>
      </c>
      <c r="E54" s="245" t="s">
        <v>372</v>
      </c>
      <c r="F54" s="245" t="s">
        <v>373</v>
      </c>
      <c r="G54" s="245" t="s">
        <v>374</v>
      </c>
      <c r="H54" s="245" t="s">
        <v>375</v>
      </c>
      <c r="I54" s="245" t="s">
        <v>376</v>
      </c>
      <c r="J54" s="245" t="s">
        <v>377</v>
      </c>
      <c r="K54" s="245" t="s">
        <v>378</v>
      </c>
      <c r="L54" s="245" t="s">
        <v>379</v>
      </c>
      <c r="M54" s="245" t="s">
        <v>380</v>
      </c>
      <c r="N54" s="245" t="s">
        <v>381</v>
      </c>
      <c r="O54" s="246" t="s">
        <v>2</v>
      </c>
    </row>
    <row r="55" spans="2:15" hidden="1">
      <c r="B55" s="247" t="s">
        <v>137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6"/>
    </row>
    <row r="56" spans="2:15" hidden="1">
      <c r="B56" s="248" t="s">
        <v>294</v>
      </c>
      <c r="C56" s="2">
        <v>0</v>
      </c>
      <c r="D56" s="2">
        <v>0</v>
      </c>
      <c r="E56" s="2">
        <f>6*55.36</f>
        <v>332.15999999999997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f>10*41.92</f>
        <v>419.20000000000005</v>
      </c>
      <c r="L56" s="2">
        <v>0</v>
      </c>
      <c r="M56" s="2">
        <v>0</v>
      </c>
      <c r="N56" s="2">
        <v>0</v>
      </c>
      <c r="O56" s="36">
        <v>773.38225551290998</v>
      </c>
    </row>
    <row r="57" spans="2:15" hidden="1">
      <c r="B57" s="248" t="s">
        <v>368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36">
        <f>SUM(C57:N57)</f>
        <v>0</v>
      </c>
    </row>
    <row r="58" spans="2:15" hidden="1">
      <c r="B58" s="248" t="s">
        <v>153</v>
      </c>
      <c r="C58" s="2">
        <f>SUM(C56:C57)</f>
        <v>0</v>
      </c>
      <c r="D58" s="2">
        <f t="shared" ref="D58:O58" si="15">SUM(D56:D57)</f>
        <v>0</v>
      </c>
      <c r="E58" s="2">
        <f t="shared" si="15"/>
        <v>332.15999999999997</v>
      </c>
      <c r="F58" s="2">
        <f t="shared" si="15"/>
        <v>0</v>
      </c>
      <c r="G58" s="2">
        <f t="shared" si="15"/>
        <v>0</v>
      </c>
      <c r="H58" s="2">
        <f t="shared" si="15"/>
        <v>0</v>
      </c>
      <c r="I58" s="2">
        <f t="shared" si="15"/>
        <v>0</v>
      </c>
      <c r="J58" s="2">
        <f t="shared" si="15"/>
        <v>0</v>
      </c>
      <c r="K58" s="2">
        <f t="shared" si="15"/>
        <v>419.20000000000005</v>
      </c>
      <c r="L58" s="2">
        <f t="shared" si="15"/>
        <v>0</v>
      </c>
      <c r="M58" s="2">
        <f t="shared" si="15"/>
        <v>0</v>
      </c>
      <c r="N58" s="2">
        <f t="shared" si="15"/>
        <v>0</v>
      </c>
      <c r="O58" s="36">
        <f t="shared" si="15"/>
        <v>773.38225551290998</v>
      </c>
    </row>
    <row r="59" spans="2:15" hidden="1">
      <c r="B59" s="24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6"/>
    </row>
    <row r="60" spans="2:15" hidden="1">
      <c r="B60" s="248" t="s">
        <v>154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6"/>
    </row>
    <row r="61" spans="2:15" hidden="1">
      <c r="B61" s="248" t="s">
        <v>295</v>
      </c>
      <c r="C61" s="2">
        <v>50</v>
      </c>
      <c r="D61" s="2">
        <v>50</v>
      </c>
      <c r="E61" s="2">
        <v>50</v>
      </c>
      <c r="F61" s="2">
        <v>50</v>
      </c>
      <c r="G61" s="2">
        <v>50</v>
      </c>
      <c r="H61" s="2">
        <v>50</v>
      </c>
      <c r="I61" s="2">
        <v>50</v>
      </c>
      <c r="J61" s="2">
        <v>50</v>
      </c>
      <c r="K61" s="2">
        <v>50</v>
      </c>
      <c r="L61" s="2">
        <v>50</v>
      </c>
      <c r="M61" s="2">
        <v>50</v>
      </c>
      <c r="N61" s="2">
        <v>85</v>
      </c>
      <c r="O61" s="36">
        <v>635</v>
      </c>
    </row>
    <row r="62" spans="2:15" hidden="1">
      <c r="B62" s="248" t="s">
        <v>296</v>
      </c>
      <c r="C62" s="2">
        <v>10</v>
      </c>
      <c r="D62" s="2">
        <v>10</v>
      </c>
      <c r="E62" s="2">
        <v>10</v>
      </c>
      <c r="F62" s="2">
        <v>10</v>
      </c>
      <c r="G62" s="2">
        <v>10</v>
      </c>
      <c r="H62" s="2">
        <v>10</v>
      </c>
      <c r="I62" s="2">
        <v>10</v>
      </c>
      <c r="J62" s="2">
        <v>10</v>
      </c>
      <c r="K62" s="2">
        <v>40</v>
      </c>
      <c r="L62" s="2">
        <v>10</v>
      </c>
      <c r="M62" s="2">
        <v>10</v>
      </c>
      <c r="N62" s="2">
        <v>10</v>
      </c>
      <c r="O62" s="36">
        <v>150</v>
      </c>
    </row>
    <row r="63" spans="2:15" hidden="1">
      <c r="B63" s="248" t="s">
        <v>297</v>
      </c>
      <c r="C63" s="2">
        <v>5</v>
      </c>
      <c r="D63" s="2">
        <v>5</v>
      </c>
      <c r="E63" s="2">
        <v>20</v>
      </c>
      <c r="F63" s="2">
        <v>5</v>
      </c>
      <c r="G63" s="2">
        <v>5</v>
      </c>
      <c r="H63" s="2">
        <v>5</v>
      </c>
      <c r="I63" s="2">
        <v>5</v>
      </c>
      <c r="J63" s="2">
        <v>5</v>
      </c>
      <c r="K63" s="2">
        <v>5</v>
      </c>
      <c r="L63" s="2">
        <v>5</v>
      </c>
      <c r="M63" s="2">
        <v>5</v>
      </c>
      <c r="N63" s="2">
        <v>25</v>
      </c>
      <c r="O63" s="36">
        <v>95</v>
      </c>
    </row>
    <row r="64" spans="2:15" hidden="1">
      <c r="B64" s="248" t="s">
        <v>298</v>
      </c>
      <c r="C64" s="2">
        <v>5</v>
      </c>
      <c r="D64" s="2">
        <v>5</v>
      </c>
      <c r="E64" s="2">
        <v>5</v>
      </c>
      <c r="F64" s="2">
        <v>5</v>
      </c>
      <c r="G64" s="2">
        <v>5</v>
      </c>
      <c r="H64" s="2">
        <v>5</v>
      </c>
      <c r="I64" s="2">
        <v>5</v>
      </c>
      <c r="J64" s="2">
        <v>5</v>
      </c>
      <c r="K64" s="2">
        <v>5</v>
      </c>
      <c r="L64" s="2">
        <v>5</v>
      </c>
      <c r="M64" s="2">
        <v>5</v>
      </c>
      <c r="N64" s="2">
        <v>5</v>
      </c>
      <c r="O64" s="36">
        <v>60</v>
      </c>
    </row>
    <row r="65" spans="2:15" hidden="1">
      <c r="B65" s="248" t="s">
        <v>58</v>
      </c>
      <c r="C65" s="2">
        <v>15</v>
      </c>
      <c r="D65" s="2">
        <v>15</v>
      </c>
      <c r="E65" s="2">
        <v>15</v>
      </c>
      <c r="F65" s="2">
        <v>15</v>
      </c>
      <c r="G65" s="2">
        <v>10</v>
      </c>
      <c r="H65" s="2">
        <v>15</v>
      </c>
      <c r="I65" s="2">
        <v>15</v>
      </c>
      <c r="J65" s="2">
        <v>15</v>
      </c>
      <c r="K65" s="2">
        <v>15</v>
      </c>
      <c r="L65" s="2">
        <v>15</v>
      </c>
      <c r="M65" s="2">
        <v>10</v>
      </c>
      <c r="N65" s="2">
        <v>20</v>
      </c>
      <c r="O65" s="36">
        <v>175</v>
      </c>
    </row>
    <row r="66" spans="2:15" hidden="1">
      <c r="B66" s="248" t="s">
        <v>352</v>
      </c>
      <c r="C66" s="2">
        <v>85</v>
      </c>
      <c r="D66" s="2">
        <v>85</v>
      </c>
      <c r="E66" s="2">
        <v>100</v>
      </c>
      <c r="F66" s="2">
        <v>85</v>
      </c>
      <c r="G66" s="2">
        <v>80</v>
      </c>
      <c r="H66" s="2">
        <v>85</v>
      </c>
      <c r="I66" s="2">
        <v>85</v>
      </c>
      <c r="J66" s="2">
        <v>85</v>
      </c>
      <c r="K66" s="2">
        <v>115</v>
      </c>
      <c r="L66" s="2">
        <v>85</v>
      </c>
      <c r="M66" s="2">
        <v>80</v>
      </c>
      <c r="N66" s="2">
        <v>145</v>
      </c>
      <c r="O66" s="36">
        <v>1115</v>
      </c>
    </row>
    <row r="67" spans="2:15" hidden="1">
      <c r="B67" s="24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6"/>
    </row>
    <row r="68" spans="2:15" hidden="1">
      <c r="B68" s="249" t="s">
        <v>438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6">
        <v>0</v>
      </c>
    </row>
    <row r="69" spans="2:15" hidden="1">
      <c r="B69" s="248" t="s">
        <v>356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36">
        <v>0</v>
      </c>
    </row>
    <row r="70" spans="2:15" hidden="1">
      <c r="B70" s="248" t="s">
        <v>329</v>
      </c>
      <c r="C70" s="2">
        <v>0</v>
      </c>
      <c r="D70" s="2">
        <v>0</v>
      </c>
      <c r="E70" s="2">
        <v>0</v>
      </c>
      <c r="F70" s="2">
        <v>14.862205163991627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9.5020655966503842</v>
      </c>
      <c r="M70" s="2">
        <v>0</v>
      </c>
      <c r="N70" s="2">
        <v>0</v>
      </c>
      <c r="O70" s="36">
        <v>24.364270760642011</v>
      </c>
    </row>
    <row r="71" spans="2:15" hidden="1">
      <c r="B71" s="248" t="s">
        <v>330</v>
      </c>
      <c r="C71" s="2">
        <v>0</v>
      </c>
      <c r="D71" s="2">
        <v>0</v>
      </c>
      <c r="E71" s="2">
        <v>0</v>
      </c>
      <c r="F71" s="2">
        <v>33.957886950453599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21.710780181437542</v>
      </c>
      <c r="M71" s="2">
        <v>0</v>
      </c>
      <c r="N71" s="2">
        <v>0</v>
      </c>
      <c r="O71" s="36">
        <v>55.668667131891141</v>
      </c>
    </row>
    <row r="72" spans="2:15" hidden="1">
      <c r="B72" s="248" t="s">
        <v>357</v>
      </c>
      <c r="C72" s="2">
        <v>0</v>
      </c>
      <c r="D72" s="2">
        <v>0</v>
      </c>
      <c r="E72" s="2">
        <v>0</v>
      </c>
      <c r="F72" s="2">
        <v>17.38427634333566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11.114537334263783</v>
      </c>
      <c r="M72" s="2">
        <v>0</v>
      </c>
      <c r="N72" s="2">
        <v>0</v>
      </c>
      <c r="O72" s="36">
        <v>28.498813677599443</v>
      </c>
    </row>
    <row r="73" spans="2:15" hidden="1">
      <c r="B73" s="248" t="s">
        <v>365</v>
      </c>
      <c r="C73" s="2">
        <v>0</v>
      </c>
      <c r="D73" s="2">
        <v>0</v>
      </c>
      <c r="E73" s="2">
        <v>0</v>
      </c>
      <c r="F73" s="2">
        <v>25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25</v>
      </c>
      <c r="M73" s="2">
        <v>0</v>
      </c>
      <c r="N73" s="2">
        <v>0</v>
      </c>
      <c r="O73" s="36">
        <v>50</v>
      </c>
    </row>
    <row r="74" spans="2:15" hidden="1">
      <c r="B74" s="248" t="s">
        <v>361</v>
      </c>
      <c r="C74" s="2">
        <f>SUM(C69:C72)</f>
        <v>0</v>
      </c>
      <c r="D74" s="2">
        <f t="shared" ref="D74:N74" si="16">SUM(D69:D72)</f>
        <v>0</v>
      </c>
      <c r="E74" s="2">
        <f t="shared" si="16"/>
        <v>0</v>
      </c>
      <c r="F74" s="2">
        <f>SUM(F69:F73)</f>
        <v>91.204368457780888</v>
      </c>
      <c r="G74" s="2">
        <f t="shared" si="16"/>
        <v>0</v>
      </c>
      <c r="H74" s="2">
        <f t="shared" si="16"/>
        <v>0</v>
      </c>
      <c r="I74" s="2">
        <f t="shared" si="16"/>
        <v>0</v>
      </c>
      <c r="J74" s="2">
        <f t="shared" si="16"/>
        <v>0</v>
      </c>
      <c r="K74" s="2">
        <f t="shared" si="16"/>
        <v>0</v>
      </c>
      <c r="L74" s="2">
        <f>SUM(L69:L73)</f>
        <v>67.327383112351711</v>
      </c>
      <c r="M74" s="2">
        <f t="shared" si="16"/>
        <v>0</v>
      </c>
      <c r="N74" s="2">
        <f t="shared" si="16"/>
        <v>0</v>
      </c>
      <c r="O74" s="36">
        <f>SUM(O70:O73)</f>
        <v>158.5317515701326</v>
      </c>
    </row>
    <row r="75" spans="2:15" hidden="1">
      <c r="B75" s="24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6"/>
    </row>
    <row r="76" spans="2:15" hidden="1">
      <c r="B76" s="249" t="s">
        <v>439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6">
        <v>0</v>
      </c>
    </row>
    <row r="77" spans="2:15" hidden="1">
      <c r="B77" s="248" t="s">
        <v>356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36">
        <v>0</v>
      </c>
    </row>
    <row r="78" spans="2:15" hidden="1">
      <c r="B78" s="248" t="s">
        <v>360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36">
        <v>0</v>
      </c>
    </row>
    <row r="79" spans="2:15" hidden="1">
      <c r="B79" s="248" t="s">
        <v>369</v>
      </c>
      <c r="C79" s="2">
        <v>0</v>
      </c>
      <c r="D79" s="2">
        <v>0</v>
      </c>
      <c r="E79" s="2">
        <v>15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15</v>
      </c>
      <c r="L79" s="2">
        <v>0</v>
      </c>
      <c r="M79" s="2">
        <v>0</v>
      </c>
      <c r="N79" s="2">
        <v>0</v>
      </c>
      <c r="O79" s="36">
        <v>30</v>
      </c>
    </row>
    <row r="80" spans="2:15" hidden="1">
      <c r="B80" s="248" t="s">
        <v>362</v>
      </c>
      <c r="C80" s="2">
        <f>SUM(C77:C79)</f>
        <v>0</v>
      </c>
      <c r="D80" s="2">
        <f t="shared" ref="D80:O80" si="17">SUM(D77:D79)</f>
        <v>0</v>
      </c>
      <c r="E80" s="2">
        <f t="shared" si="17"/>
        <v>15</v>
      </c>
      <c r="F80" s="2">
        <f t="shared" si="17"/>
        <v>0</v>
      </c>
      <c r="G80" s="2">
        <f t="shared" si="17"/>
        <v>0</v>
      </c>
      <c r="H80" s="2">
        <f t="shared" si="17"/>
        <v>0</v>
      </c>
      <c r="I80" s="2">
        <f t="shared" si="17"/>
        <v>0</v>
      </c>
      <c r="J80" s="2">
        <f t="shared" si="17"/>
        <v>0</v>
      </c>
      <c r="K80" s="2">
        <f t="shared" si="17"/>
        <v>15</v>
      </c>
      <c r="L80" s="2">
        <f t="shared" si="17"/>
        <v>0</v>
      </c>
      <c r="M80" s="2">
        <f t="shared" si="17"/>
        <v>0</v>
      </c>
      <c r="N80" s="2">
        <f t="shared" si="17"/>
        <v>0</v>
      </c>
      <c r="O80" s="36">
        <f t="shared" si="17"/>
        <v>30</v>
      </c>
    </row>
    <row r="81" spans="2:15" hidden="1">
      <c r="B81" s="24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6"/>
    </row>
    <row r="82" spans="2:15" hidden="1">
      <c r="B82" s="250" t="s">
        <v>138</v>
      </c>
      <c r="C82" s="2">
        <f>+C66+C74+C80</f>
        <v>85</v>
      </c>
      <c r="D82" s="2">
        <f t="shared" ref="D82:O82" si="18">+D66+D74+D80</f>
        <v>85</v>
      </c>
      <c r="E82" s="2">
        <f t="shared" si="18"/>
        <v>115</v>
      </c>
      <c r="F82" s="2">
        <f t="shared" si="18"/>
        <v>176.2043684577809</v>
      </c>
      <c r="G82" s="2">
        <f t="shared" si="18"/>
        <v>80</v>
      </c>
      <c r="H82" s="2">
        <f t="shared" si="18"/>
        <v>85</v>
      </c>
      <c r="I82" s="2">
        <f t="shared" si="18"/>
        <v>85</v>
      </c>
      <c r="J82" s="2">
        <f t="shared" si="18"/>
        <v>85</v>
      </c>
      <c r="K82" s="2">
        <f t="shared" si="18"/>
        <v>130</v>
      </c>
      <c r="L82" s="2">
        <f t="shared" si="18"/>
        <v>152.3273831123517</v>
      </c>
      <c r="M82" s="2">
        <f t="shared" si="18"/>
        <v>80</v>
      </c>
      <c r="N82" s="2">
        <f t="shared" si="18"/>
        <v>145</v>
      </c>
      <c r="O82" s="36">
        <f t="shared" si="18"/>
        <v>1303.5317515701327</v>
      </c>
    </row>
    <row r="83" spans="2:15" hidden="1">
      <c r="B83" s="250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6"/>
    </row>
    <row r="84" spans="2:15" hidden="1">
      <c r="B84" s="250" t="s">
        <v>355</v>
      </c>
      <c r="C84" s="2">
        <f>+C58-C82</f>
        <v>-85</v>
      </c>
      <c r="D84" s="2">
        <f t="shared" ref="D84:O84" si="19">+D58-D82</f>
        <v>-85</v>
      </c>
      <c r="E84" s="2">
        <f t="shared" si="19"/>
        <v>217.15999999999997</v>
      </c>
      <c r="F84" s="2">
        <f t="shared" si="19"/>
        <v>-176.2043684577809</v>
      </c>
      <c r="G84" s="2">
        <f t="shared" si="19"/>
        <v>-80</v>
      </c>
      <c r="H84" s="2">
        <f t="shared" si="19"/>
        <v>-85</v>
      </c>
      <c r="I84" s="2">
        <f t="shared" si="19"/>
        <v>-85</v>
      </c>
      <c r="J84" s="2">
        <f t="shared" si="19"/>
        <v>-85</v>
      </c>
      <c r="K84" s="2">
        <f t="shared" si="19"/>
        <v>289.20000000000005</v>
      </c>
      <c r="L84" s="2">
        <f t="shared" si="19"/>
        <v>-152.3273831123517</v>
      </c>
      <c r="M84" s="2">
        <f t="shared" si="19"/>
        <v>-80</v>
      </c>
      <c r="N84" s="2">
        <f t="shared" si="19"/>
        <v>-145</v>
      </c>
      <c r="O84" s="36">
        <f t="shared" si="19"/>
        <v>-530.14949605722268</v>
      </c>
    </row>
    <row r="85" spans="2:15" ht="13.5" hidden="1" thickBot="1">
      <c r="B85" s="251" t="s">
        <v>364</v>
      </c>
      <c r="C85" s="150">
        <f>+C84</f>
        <v>-85</v>
      </c>
      <c r="D85" s="150">
        <f>+C85+D84</f>
        <v>-170</v>
      </c>
      <c r="E85" s="150">
        <f>+D85+E84</f>
        <v>47.159999999999968</v>
      </c>
      <c r="F85" s="150">
        <f t="shared" ref="F85:O85" si="20">+E85+F84</f>
        <v>-129.04436845778093</v>
      </c>
      <c r="G85" s="150">
        <f t="shared" si="20"/>
        <v>-209.04436845778093</v>
      </c>
      <c r="H85" s="150">
        <f t="shared" si="20"/>
        <v>-294.04436845778093</v>
      </c>
      <c r="I85" s="150">
        <f t="shared" si="20"/>
        <v>-379.04436845778093</v>
      </c>
      <c r="J85" s="150">
        <f t="shared" si="20"/>
        <v>-464.04436845778093</v>
      </c>
      <c r="K85" s="150">
        <f t="shared" si="20"/>
        <v>-174.84436845778089</v>
      </c>
      <c r="L85" s="150">
        <f t="shared" si="20"/>
        <v>-327.17175157013259</v>
      </c>
      <c r="M85" s="150">
        <f t="shared" si="20"/>
        <v>-407.17175157013259</v>
      </c>
      <c r="N85" s="150">
        <f t="shared" si="20"/>
        <v>-552.17175157013253</v>
      </c>
      <c r="O85" s="150">
        <f t="shared" si="20"/>
        <v>-1082.3212476273552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B1:P87"/>
  <sheetViews>
    <sheetView zoomScale="90" zoomScaleNormal="90" workbookViewId="0">
      <selection activeCell="D30" sqref="D30"/>
    </sheetView>
  </sheetViews>
  <sheetFormatPr baseColWidth="10" defaultRowHeight="12.75"/>
  <cols>
    <col min="2" max="2" width="39.7109375" bestFit="1" customWidth="1"/>
    <col min="3" max="3" width="17" customWidth="1"/>
    <col min="4" max="4" width="16.7109375" bestFit="1" customWidth="1"/>
    <col min="5" max="6" width="19.5703125" bestFit="1" customWidth="1"/>
    <col min="7" max="8" width="13.85546875" bestFit="1" customWidth="1"/>
    <col min="12" max="12" width="13" bestFit="1" customWidth="1"/>
  </cols>
  <sheetData>
    <row r="1" spans="2:16">
      <c r="B1" s="244"/>
      <c r="C1" s="245" t="s">
        <v>371</v>
      </c>
      <c r="D1" s="245" t="s">
        <v>370</v>
      </c>
      <c r="E1" s="245" t="s">
        <v>372</v>
      </c>
      <c r="F1" s="245" t="s">
        <v>373</v>
      </c>
      <c r="G1" s="245" t="s">
        <v>374</v>
      </c>
      <c r="H1" s="245" t="s">
        <v>375</v>
      </c>
      <c r="I1" s="245" t="s">
        <v>376</v>
      </c>
      <c r="J1" s="245" t="s">
        <v>377</v>
      </c>
      <c r="K1" s="245" t="s">
        <v>378</v>
      </c>
      <c r="L1" s="245" t="s">
        <v>379</v>
      </c>
      <c r="M1" s="245" t="s">
        <v>380</v>
      </c>
      <c r="N1" s="245" t="s">
        <v>381</v>
      </c>
      <c r="O1" s="246" t="s">
        <v>2</v>
      </c>
    </row>
    <row r="2" spans="2:16">
      <c r="B2" s="247" t="s">
        <v>137</v>
      </c>
      <c r="C2" s="2"/>
      <c r="D2" s="2"/>
      <c r="E2" s="144"/>
      <c r="F2" s="2"/>
      <c r="G2" s="2"/>
      <c r="H2" s="2"/>
      <c r="I2" s="2"/>
      <c r="J2" s="2"/>
      <c r="K2" s="144"/>
      <c r="L2" s="2"/>
      <c r="M2" s="2"/>
      <c r="N2" s="2"/>
      <c r="O2" s="36"/>
    </row>
    <row r="3" spans="2:16">
      <c r="B3" s="248" t="s">
        <v>294</v>
      </c>
      <c r="C3" s="2">
        <v>0</v>
      </c>
      <c r="D3" s="2">
        <v>0</v>
      </c>
      <c r="E3" s="2">
        <f>+E17*'PRECIOS QUINTALES'!F5</f>
        <v>10587.025363199999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f>+E18*'PRECIOS QUINTALES'!F6</f>
        <v>17843.766969600001</v>
      </c>
      <c r="L3" s="2">
        <v>0</v>
      </c>
      <c r="M3" s="2">
        <v>0</v>
      </c>
      <c r="N3" s="2">
        <v>0</v>
      </c>
      <c r="O3" s="36">
        <f>SUM(C3:N3)</f>
        <v>28430.7923328</v>
      </c>
    </row>
    <row r="4" spans="2:16">
      <c r="B4" s="248" t="s">
        <v>368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36">
        <f t="shared" ref="O4:O5" si="0">SUM(C4:N4)</f>
        <v>0</v>
      </c>
      <c r="P4" s="292"/>
    </row>
    <row r="5" spans="2:16">
      <c r="B5" s="248" t="s">
        <v>153</v>
      </c>
      <c r="C5" s="2">
        <f>SUM(C3:C4)</f>
        <v>0</v>
      </c>
      <c r="D5" s="2">
        <f t="shared" ref="D5:N5" si="1">SUM(D3:D4)</f>
        <v>0</v>
      </c>
      <c r="E5" s="2">
        <f t="shared" si="1"/>
        <v>10587.025363199999</v>
      </c>
      <c r="F5" s="2">
        <f t="shared" si="1"/>
        <v>0</v>
      </c>
      <c r="G5" s="2">
        <f t="shared" si="1"/>
        <v>0</v>
      </c>
      <c r="H5" s="2">
        <f t="shared" si="1"/>
        <v>0</v>
      </c>
      <c r="I5" s="2">
        <f t="shared" si="1"/>
        <v>0</v>
      </c>
      <c r="J5" s="2">
        <f t="shared" si="1"/>
        <v>0</v>
      </c>
      <c r="K5" s="2">
        <f t="shared" si="1"/>
        <v>17843.766969600001</v>
      </c>
      <c r="L5" s="2">
        <f t="shared" si="1"/>
        <v>0</v>
      </c>
      <c r="M5" s="2">
        <f t="shared" si="1"/>
        <v>0</v>
      </c>
      <c r="N5" s="2">
        <f t="shared" si="1"/>
        <v>0</v>
      </c>
      <c r="O5" s="36">
        <f t="shared" si="0"/>
        <v>28430.7923328</v>
      </c>
      <c r="P5" s="291"/>
    </row>
    <row r="6" spans="2:16">
      <c r="B6" s="24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6"/>
      <c r="P6" s="291"/>
    </row>
    <row r="7" spans="2:16">
      <c r="B7" s="250" t="s">
        <v>506</v>
      </c>
      <c r="C7" s="2"/>
      <c r="D7" s="2"/>
      <c r="E7" s="2">
        <f>+E17*'PRECIOS QUINTALES'!C5</f>
        <v>6362.3950499999992</v>
      </c>
      <c r="F7" s="2"/>
      <c r="G7" s="2"/>
      <c r="H7" s="2"/>
      <c r="I7" s="2"/>
      <c r="J7" s="2"/>
      <c r="K7" s="2">
        <f>+E18*'PRECIOS QUINTALES'!C6</f>
        <v>10723.417649999999</v>
      </c>
      <c r="L7" s="2"/>
      <c r="M7" s="2"/>
      <c r="N7" s="2"/>
      <c r="O7" s="36">
        <f>SUM(C7:N7)</f>
        <v>17085.812699999999</v>
      </c>
      <c r="P7" s="294"/>
    </row>
    <row r="8" spans="2:16">
      <c r="B8" s="250" t="s">
        <v>503</v>
      </c>
      <c r="C8" s="2">
        <f>+C7</f>
        <v>0</v>
      </c>
      <c r="D8" s="2">
        <f t="shared" ref="D8:O8" si="2">+D7</f>
        <v>0</v>
      </c>
      <c r="E8" s="2">
        <f t="shared" si="2"/>
        <v>6362.3950499999992</v>
      </c>
      <c r="F8" s="2">
        <f t="shared" si="2"/>
        <v>0</v>
      </c>
      <c r="G8" s="2">
        <f t="shared" si="2"/>
        <v>0</v>
      </c>
      <c r="H8" s="2">
        <f t="shared" si="2"/>
        <v>0</v>
      </c>
      <c r="I8" s="2">
        <f t="shared" si="2"/>
        <v>0</v>
      </c>
      <c r="J8" s="2">
        <f t="shared" si="2"/>
        <v>0</v>
      </c>
      <c r="K8" s="2">
        <f t="shared" si="2"/>
        <v>10723.417649999999</v>
      </c>
      <c r="L8" s="2">
        <f t="shared" si="2"/>
        <v>0</v>
      </c>
      <c r="M8" s="2">
        <f t="shared" si="2"/>
        <v>0</v>
      </c>
      <c r="N8" s="2">
        <f t="shared" si="2"/>
        <v>0</v>
      </c>
      <c r="O8" s="2">
        <f t="shared" si="2"/>
        <v>17085.812699999999</v>
      </c>
    </row>
    <row r="9" spans="2:16">
      <c r="B9" s="250" t="s">
        <v>355</v>
      </c>
      <c r="C9" s="2">
        <f>+C5-C8</f>
        <v>0</v>
      </c>
      <c r="D9" s="2">
        <f t="shared" ref="D9:O9" si="3">+D5-D8</f>
        <v>0</v>
      </c>
      <c r="E9" s="2">
        <f t="shared" si="3"/>
        <v>4224.6303131999994</v>
      </c>
      <c r="F9" s="2">
        <f t="shared" si="3"/>
        <v>0</v>
      </c>
      <c r="G9" s="2">
        <f t="shared" si="3"/>
        <v>0</v>
      </c>
      <c r="H9" s="2">
        <f t="shared" si="3"/>
        <v>0</v>
      </c>
      <c r="I9" s="2">
        <f t="shared" si="3"/>
        <v>0</v>
      </c>
      <c r="J9" s="2">
        <f t="shared" si="3"/>
        <v>0</v>
      </c>
      <c r="K9" s="2">
        <f t="shared" si="3"/>
        <v>7120.3493196000018</v>
      </c>
      <c r="L9" s="2">
        <f t="shared" si="3"/>
        <v>0</v>
      </c>
      <c r="M9" s="2">
        <f t="shared" si="3"/>
        <v>0</v>
      </c>
      <c r="N9" s="2">
        <f t="shared" si="3"/>
        <v>0</v>
      </c>
      <c r="O9" s="2">
        <f t="shared" si="3"/>
        <v>11344.979632800001</v>
      </c>
    </row>
    <row r="10" spans="2:16" ht="13.5" thickBot="1">
      <c r="B10" s="251" t="s">
        <v>364</v>
      </c>
      <c r="C10" s="150">
        <f>+C9</f>
        <v>0</v>
      </c>
      <c r="D10" s="150">
        <f>+C10+D9</f>
        <v>0</v>
      </c>
      <c r="E10" s="150">
        <f>+D10+E9</f>
        <v>4224.6303131999994</v>
      </c>
      <c r="F10" s="150">
        <f t="shared" ref="F10:N10" si="4">+E10+F9</f>
        <v>4224.6303131999994</v>
      </c>
      <c r="G10" s="150">
        <f t="shared" si="4"/>
        <v>4224.6303131999994</v>
      </c>
      <c r="H10" s="150">
        <f t="shared" si="4"/>
        <v>4224.6303131999994</v>
      </c>
      <c r="I10" s="150">
        <f t="shared" si="4"/>
        <v>4224.6303131999994</v>
      </c>
      <c r="J10" s="150">
        <f t="shared" si="4"/>
        <v>4224.6303131999994</v>
      </c>
      <c r="K10" s="150">
        <f t="shared" si="4"/>
        <v>11344.979632800001</v>
      </c>
      <c r="L10" s="150">
        <f t="shared" si="4"/>
        <v>11344.979632800001</v>
      </c>
      <c r="M10" s="150">
        <f t="shared" si="4"/>
        <v>11344.979632800001</v>
      </c>
      <c r="N10" s="150">
        <f t="shared" si="4"/>
        <v>11344.979632800001</v>
      </c>
      <c r="O10" s="150"/>
    </row>
    <row r="14" spans="2:16">
      <c r="C14" t="s">
        <v>539</v>
      </c>
      <c r="D14">
        <v>1.0495000000000001</v>
      </c>
    </row>
    <row r="16" spans="2:16" ht="13.5" thickBot="1"/>
    <row r="17" spans="2:8">
      <c r="C17" s="108" t="s">
        <v>507</v>
      </c>
      <c r="D17" s="413">
        <f>719*0.31</f>
        <v>222.89</v>
      </c>
      <c r="E17" s="414">
        <f>+D17*0.66</f>
        <v>147.10739999999998</v>
      </c>
    </row>
    <row r="18" spans="2:8" ht="13.5" thickBot="1">
      <c r="C18" s="109" t="s">
        <v>508</v>
      </c>
      <c r="D18" s="415">
        <f>719*0.69</f>
        <v>496.10999999999996</v>
      </c>
      <c r="E18" s="416">
        <f>+D18*0.66</f>
        <v>327.43259999999998</v>
      </c>
      <c r="G18" s="37"/>
    </row>
    <row r="22" spans="2:8" ht="13.5" thickBot="1"/>
    <row r="23" spans="2:8" ht="13.5" thickBot="1">
      <c r="B23" s="191"/>
      <c r="C23" s="351" t="s">
        <v>48</v>
      </c>
      <c r="D23" s="351" t="s">
        <v>49</v>
      </c>
      <c r="E23" s="351" t="s">
        <v>50</v>
      </c>
      <c r="F23" s="351" t="s">
        <v>51</v>
      </c>
      <c r="G23" s="351" t="s">
        <v>52</v>
      </c>
      <c r="H23" s="351" t="s">
        <v>53</v>
      </c>
    </row>
    <row r="24" spans="2:8" ht="13.5" thickBot="1">
      <c r="B24" s="352" t="s">
        <v>137</v>
      </c>
      <c r="C24" s="260"/>
      <c r="D24" s="260"/>
      <c r="E24" s="260"/>
      <c r="F24" s="260"/>
      <c r="G24" s="260"/>
      <c r="H24" s="260"/>
    </row>
    <row r="25" spans="2:8" ht="13.5" thickBot="1">
      <c r="B25" s="191" t="s">
        <v>294</v>
      </c>
      <c r="C25" s="191">
        <f>+O3</f>
        <v>28430.7923328</v>
      </c>
      <c r="D25" s="191">
        <f>+D45</f>
        <v>29838.116553273605</v>
      </c>
      <c r="E25" s="191">
        <f t="shared" ref="E25:H25" si="5">+E45</f>
        <v>31315.103322660649</v>
      </c>
      <c r="F25" s="191">
        <f t="shared" si="5"/>
        <v>32865.200937132351</v>
      </c>
      <c r="G25" s="191">
        <f t="shared" si="5"/>
        <v>34492.02838352041</v>
      </c>
      <c r="H25" s="191">
        <f t="shared" si="5"/>
        <v>36199.383788504667</v>
      </c>
    </row>
    <row r="26" spans="2:8" ht="13.5" thickBot="1">
      <c r="B26" s="191" t="s">
        <v>492</v>
      </c>
      <c r="C26" s="191">
        <f>+O4</f>
        <v>0</v>
      </c>
      <c r="D26" s="191">
        <f t="shared" ref="D26:H26" si="6">+P4</f>
        <v>0</v>
      </c>
      <c r="E26" s="191">
        <f t="shared" si="6"/>
        <v>0</v>
      </c>
      <c r="F26" s="191">
        <f t="shared" si="6"/>
        <v>0</v>
      </c>
      <c r="G26" s="191">
        <f t="shared" si="6"/>
        <v>0</v>
      </c>
      <c r="H26" s="191">
        <f t="shared" si="6"/>
        <v>0</v>
      </c>
    </row>
    <row r="27" spans="2:8" ht="13.5" thickBot="1">
      <c r="B27" s="191" t="s">
        <v>153</v>
      </c>
      <c r="C27" s="191">
        <f>+O5</f>
        <v>28430.7923328</v>
      </c>
      <c r="D27" s="191">
        <f>SUM(D25:D26)</f>
        <v>29838.116553273605</v>
      </c>
      <c r="E27" s="191">
        <f t="shared" ref="E27:H27" si="7">SUM(E25:E26)</f>
        <v>31315.103322660649</v>
      </c>
      <c r="F27" s="191">
        <f t="shared" si="7"/>
        <v>32865.200937132351</v>
      </c>
      <c r="G27" s="191">
        <f t="shared" si="7"/>
        <v>34492.02838352041</v>
      </c>
      <c r="H27" s="191">
        <f t="shared" si="7"/>
        <v>36199.383788504667</v>
      </c>
    </row>
    <row r="28" spans="2:8" ht="13.5" thickBot="1">
      <c r="B28" s="191"/>
      <c r="C28" s="260"/>
      <c r="D28" s="260"/>
      <c r="E28" s="260"/>
      <c r="F28" s="260"/>
      <c r="G28" s="260"/>
      <c r="H28" s="260"/>
    </row>
    <row r="29" spans="2:8" ht="13.5" thickBot="1">
      <c r="B29" s="353" t="s">
        <v>506</v>
      </c>
      <c r="C29" s="191">
        <f>+O7</f>
        <v>17085.812699999999</v>
      </c>
      <c r="D29" s="191">
        <f>+D52</f>
        <v>17931.560428650002</v>
      </c>
      <c r="E29" s="191">
        <f>+E52</f>
        <v>18819.172669868178</v>
      </c>
      <c r="F29" s="191">
        <f>+F52</f>
        <v>19750.721717026656</v>
      </c>
      <c r="G29" s="191">
        <f>+G52</f>
        <v>13209.149492695955</v>
      </c>
      <c r="H29" s="191">
        <f>+H52</f>
        <v>21754.43737289944</v>
      </c>
    </row>
    <row r="30" spans="2:8" ht="13.5" thickBot="1">
      <c r="B30" s="353" t="s">
        <v>503</v>
      </c>
      <c r="C30" s="191">
        <f>+O8</f>
        <v>17085.812699999999</v>
      </c>
      <c r="D30" s="191">
        <f>SUM(D29)</f>
        <v>17931.560428650002</v>
      </c>
      <c r="E30" s="191">
        <f t="shared" ref="E30:H30" si="8">SUM(E29)</f>
        <v>18819.172669868178</v>
      </c>
      <c r="F30" s="191">
        <f t="shared" si="8"/>
        <v>19750.721717026656</v>
      </c>
      <c r="G30" s="191">
        <f t="shared" si="8"/>
        <v>13209.149492695955</v>
      </c>
      <c r="H30" s="191">
        <f t="shared" si="8"/>
        <v>21754.43737289944</v>
      </c>
    </row>
    <row r="31" spans="2:8" ht="13.5" thickBot="1">
      <c r="B31" s="353" t="s">
        <v>355</v>
      </c>
      <c r="C31" s="191">
        <f>+O9</f>
        <v>11344.979632800001</v>
      </c>
      <c r="D31" s="191">
        <f>+D27-D30</f>
        <v>11906.556124623603</v>
      </c>
      <c r="E31" s="191">
        <f t="shared" ref="E31:H31" si="9">+E27-E30</f>
        <v>12495.930652792471</v>
      </c>
      <c r="F31" s="191">
        <f t="shared" si="9"/>
        <v>13114.479220105695</v>
      </c>
      <c r="G31" s="191">
        <f t="shared" si="9"/>
        <v>21282.878890824453</v>
      </c>
      <c r="H31" s="191">
        <f t="shared" si="9"/>
        <v>14444.946415605227</v>
      </c>
    </row>
    <row r="32" spans="2:8" ht="13.5" thickBot="1">
      <c r="B32" s="353" t="s">
        <v>364</v>
      </c>
      <c r="C32" s="260"/>
      <c r="D32" s="191">
        <f>+C32+D31</f>
        <v>11906.556124623603</v>
      </c>
      <c r="E32" s="191">
        <f>+D32+E31</f>
        <v>24402.486777416074</v>
      </c>
      <c r="F32" s="191">
        <f t="shared" ref="F32:H32" si="10">+E32+F31</f>
        <v>37516.965997521766</v>
      </c>
      <c r="G32" s="191">
        <f t="shared" si="10"/>
        <v>58799.844888346219</v>
      </c>
      <c r="H32" s="191">
        <f t="shared" si="10"/>
        <v>73244.791303951439</v>
      </c>
    </row>
    <row r="38" spans="2:14">
      <c r="B38" s="1" t="s">
        <v>541</v>
      </c>
      <c r="C38" s="371" t="s">
        <v>48</v>
      </c>
      <c r="D38" s="371" t="s">
        <v>49</v>
      </c>
      <c r="E38" s="371" t="s">
        <v>50</v>
      </c>
      <c r="F38" s="371" t="s">
        <v>51</v>
      </c>
      <c r="G38" s="371" t="s">
        <v>52</v>
      </c>
      <c r="H38" s="371" t="s">
        <v>53</v>
      </c>
    </row>
    <row r="39" spans="2:14">
      <c r="B39" s="1" t="s">
        <v>343</v>
      </c>
      <c r="C39" s="1"/>
      <c r="D39" s="2">
        <f>+'PRECIOS QUINTALES'!$F$6*$D$14</f>
        <v>57.193552000000011</v>
      </c>
      <c r="E39" s="2">
        <f>+D39*$D$14</f>
        <v>60.024632824000015</v>
      </c>
      <c r="F39" s="2">
        <f t="shared" ref="F39:H39" si="11">+E39*$D$14</f>
        <v>62.995852148788025</v>
      </c>
      <c r="G39" s="2">
        <f t="shared" si="11"/>
        <v>66.114146830153032</v>
      </c>
      <c r="H39" s="2">
        <f t="shared" si="11"/>
        <v>69.386797098245609</v>
      </c>
    </row>
    <row r="40" spans="2:14">
      <c r="B40" s="1" t="s">
        <v>344</v>
      </c>
      <c r="C40" s="1"/>
      <c r="D40" s="2">
        <f>+'PRECIOS QUINTALES'!$F$5*$D$14</f>
        <v>75.530416000000017</v>
      </c>
      <c r="E40" s="2">
        <f>+D40*$D$14</f>
        <v>79.269171592000021</v>
      </c>
      <c r="F40" s="2">
        <f t="shared" ref="F40:H40" si="12">+E40*$D$14</f>
        <v>83.192995585804027</v>
      </c>
      <c r="G40" s="2">
        <f t="shared" si="12"/>
        <v>87.311048867301338</v>
      </c>
      <c r="H40" s="2">
        <f t="shared" si="12"/>
        <v>91.632945786232767</v>
      </c>
    </row>
    <row r="42" spans="2:14">
      <c r="B42" s="1" t="s">
        <v>23</v>
      </c>
      <c r="C42" s="1"/>
      <c r="D42" s="1"/>
      <c r="E42" s="1"/>
      <c r="F42" s="1"/>
      <c r="G42" s="1"/>
      <c r="H42" s="1"/>
      <c r="M42" s="350"/>
      <c r="N42" s="350"/>
    </row>
    <row r="43" spans="2:14">
      <c r="B43" s="1" t="s">
        <v>343</v>
      </c>
      <c r="C43" s="1">
        <f>719*0.69</f>
        <v>496.10999999999996</v>
      </c>
      <c r="D43" s="1">
        <f>719*0.69*0.66</f>
        <v>327.43259999999998</v>
      </c>
      <c r="E43" s="1">
        <f t="shared" ref="E43:H43" si="13">719*0.69*0.66</f>
        <v>327.43259999999998</v>
      </c>
      <c r="F43" s="1">
        <f t="shared" si="13"/>
        <v>327.43259999999998</v>
      </c>
      <c r="G43" s="1">
        <f t="shared" si="13"/>
        <v>327.43259999999998</v>
      </c>
      <c r="H43" s="1">
        <f t="shared" si="13"/>
        <v>327.43259999999998</v>
      </c>
      <c r="M43" s="37"/>
      <c r="N43" s="37"/>
    </row>
    <row r="44" spans="2:14">
      <c r="B44" s="1" t="s">
        <v>344</v>
      </c>
      <c r="C44" s="1">
        <f>719*0.31</f>
        <v>222.89</v>
      </c>
      <c r="D44" s="1">
        <f>719*0.31*0.66</f>
        <v>147.10739999999998</v>
      </c>
      <c r="E44" s="1">
        <f t="shared" ref="E44:H44" si="14">719*0.31*0.66</f>
        <v>147.10739999999998</v>
      </c>
      <c r="F44" s="1">
        <f t="shared" si="14"/>
        <v>147.10739999999998</v>
      </c>
      <c r="G44" s="1">
        <f t="shared" si="14"/>
        <v>147.10739999999998</v>
      </c>
      <c r="H44" s="1">
        <f t="shared" si="14"/>
        <v>147.10739999999998</v>
      </c>
    </row>
    <row r="45" spans="2:14">
      <c r="B45" s="1" t="s">
        <v>540</v>
      </c>
      <c r="C45" s="1"/>
      <c r="D45" s="2">
        <f>+(D39*D43)+(D40*D44)</f>
        <v>29838.116553273605</v>
      </c>
      <c r="E45" s="2">
        <f t="shared" ref="E45:H45" si="15">+(E39*E43)+(E40*E44)</f>
        <v>31315.103322660649</v>
      </c>
      <c r="F45" s="2">
        <f t="shared" si="15"/>
        <v>32865.200937132351</v>
      </c>
      <c r="G45" s="2">
        <f t="shared" si="15"/>
        <v>34492.02838352041</v>
      </c>
      <c r="H45" s="2">
        <f t="shared" si="15"/>
        <v>36199.383788504667</v>
      </c>
    </row>
    <row r="48" spans="2:14">
      <c r="B48" s="1" t="s">
        <v>542</v>
      </c>
      <c r="C48" s="371" t="s">
        <v>48</v>
      </c>
      <c r="D48" s="371" t="s">
        <v>49</v>
      </c>
      <c r="E48" s="371" t="s">
        <v>50</v>
      </c>
      <c r="F48" s="371" t="s">
        <v>51</v>
      </c>
      <c r="G48" s="371" t="s">
        <v>52</v>
      </c>
      <c r="H48" s="371" t="s">
        <v>53</v>
      </c>
    </row>
    <row r="49" spans="2:8">
      <c r="B49" s="1" t="s">
        <v>343</v>
      </c>
      <c r="C49" s="1"/>
      <c r="D49" s="2">
        <f>+'PRECIOS QUINTALES'!C6*$D$14</f>
        <v>34.371125000000006</v>
      </c>
      <c r="E49" s="2">
        <f>+D49*$D$14</f>
        <v>36.072495687500009</v>
      </c>
      <c r="F49" s="2">
        <f t="shared" ref="F49:H49" si="16">+E49*$D$14</f>
        <v>37.858084224031266</v>
      </c>
      <c r="G49" s="2">
        <f t="shared" si="16"/>
        <v>39.732059393120821</v>
      </c>
      <c r="H49" s="2">
        <f t="shared" si="16"/>
        <v>41.698796333080303</v>
      </c>
    </row>
    <row r="50" spans="2:8">
      <c r="B50" s="1" t="s">
        <v>344</v>
      </c>
      <c r="C50" s="1"/>
      <c r="D50" s="2">
        <f>+'PRECIOS QUINTALES'!C5*$D$14</f>
        <v>45.390875000000001</v>
      </c>
      <c r="E50" s="2">
        <f>+D50*$D$14</f>
        <v>47.637723312500007</v>
      </c>
      <c r="F50" s="2">
        <f t="shared" ref="F50:H50" si="17">+E50*$D$14</f>
        <v>49.99579061646876</v>
      </c>
      <c r="G50" s="2">
        <f t="shared" si="17"/>
        <v>52.47058225198397</v>
      </c>
      <c r="H50" s="2">
        <f t="shared" si="17"/>
        <v>55.067876073457178</v>
      </c>
    </row>
    <row r="51" spans="2:8">
      <c r="B51" s="28"/>
      <c r="D51" s="37"/>
    </row>
    <row r="52" spans="2:8">
      <c r="B52" s="143" t="s">
        <v>551</v>
      </c>
      <c r="C52" s="1"/>
      <c r="D52" s="2">
        <f>+(D49*D43)+(D50*D44)</f>
        <v>17931.560428650002</v>
      </c>
      <c r="E52" s="2">
        <f>+(E43*E49)+(E50*E44)</f>
        <v>18819.172669868178</v>
      </c>
      <c r="F52" s="2">
        <f>+(F43*F49)+(F50*F44)</f>
        <v>19750.721717026656</v>
      </c>
      <c r="G52" s="2">
        <f>+(G43*G49)+(G44+G50)</f>
        <v>13209.149492695955</v>
      </c>
      <c r="H52" s="2">
        <f>+(H43*H49)+(H44*H50)</f>
        <v>21754.43737289944</v>
      </c>
    </row>
    <row r="53" spans="2:8">
      <c r="B53" s="372" t="s">
        <v>552</v>
      </c>
      <c r="C53" s="1"/>
      <c r="D53" s="2">
        <f>+D45-D52</f>
        <v>11906.556124623603</v>
      </c>
      <c r="E53" s="2">
        <f t="shared" ref="E53:H53" si="18">+E45-E52</f>
        <v>12495.930652792471</v>
      </c>
      <c r="F53" s="2">
        <f t="shared" si="18"/>
        <v>13114.479220105695</v>
      </c>
      <c r="G53" s="2">
        <f t="shared" si="18"/>
        <v>21282.878890824453</v>
      </c>
      <c r="H53" s="2">
        <f t="shared" si="18"/>
        <v>14444.946415605227</v>
      </c>
    </row>
    <row r="54" spans="2:8">
      <c r="E54">
        <f>70000/5</f>
        <v>14000</v>
      </c>
    </row>
    <row r="56" spans="2:8" ht="13.5" thickBot="1"/>
    <row r="57" spans="2:8" ht="13.5" thickBot="1">
      <c r="B57" s="296"/>
      <c r="C57" s="297">
        <v>2011</v>
      </c>
      <c r="D57" s="297">
        <v>2012</v>
      </c>
      <c r="E57" s="297">
        <v>2013</v>
      </c>
      <c r="F57" s="297">
        <v>2014</v>
      </c>
      <c r="G57" s="297">
        <v>2015</v>
      </c>
      <c r="H57" s="297">
        <v>2016</v>
      </c>
    </row>
    <row r="58" spans="2:8" ht="13.5" thickBot="1">
      <c r="B58" s="299" t="s">
        <v>152</v>
      </c>
      <c r="C58" s="304"/>
      <c r="D58" s="356">
        <f>+C81</f>
        <v>-6427.1523496270747</v>
      </c>
      <c r="E58" s="356">
        <f>+D81</f>
        <v>-31166.691013709249</v>
      </c>
      <c r="F58" s="356">
        <f>+E81</f>
        <v>-40005.83130975168</v>
      </c>
      <c r="G58" s="356">
        <f>+F81</f>
        <v>-50117.986326335835</v>
      </c>
      <c r="H58" s="356">
        <f>+G81</f>
        <v>-54363.121189175938</v>
      </c>
    </row>
    <row r="59" spans="2:8" ht="13.5" thickBot="1">
      <c r="B59" s="302" t="s">
        <v>137</v>
      </c>
      <c r="C59" s="304"/>
      <c r="D59" s="356"/>
      <c r="E59" s="304"/>
      <c r="F59" s="304"/>
      <c r="G59" s="304"/>
      <c r="H59" s="304"/>
    </row>
    <row r="60" spans="2:8" ht="13.5" thickBot="1">
      <c r="B60" s="303" t="s">
        <v>543</v>
      </c>
      <c r="C60" s="356">
        <f>+'COSTO CAPITAL'!E5</f>
        <v>17631.411094982799</v>
      </c>
      <c r="D60" s="395"/>
      <c r="E60" s="304"/>
      <c r="F60" s="304"/>
      <c r="G60" s="304"/>
      <c r="H60" s="304"/>
    </row>
    <row r="61" spans="2:8" ht="13.5" thickBot="1">
      <c r="B61" s="303" t="s">
        <v>544</v>
      </c>
      <c r="C61" s="304">
        <f>+'FLUJO FONDO COOP'!F17</f>
        <v>0</v>
      </c>
      <c r="D61" s="304"/>
      <c r="E61" s="304"/>
      <c r="F61" s="304"/>
      <c r="G61" s="304"/>
      <c r="H61" s="304"/>
    </row>
    <row r="62" spans="2:8" ht="13.5" thickBot="1">
      <c r="B62" s="299" t="s">
        <v>545</v>
      </c>
      <c r="C62" s="356">
        <f>+'FLUJO FONDO COOP'!O18</f>
        <v>2602.5826500529201</v>
      </c>
      <c r="D62" s="365">
        <f>+C62*1.15</f>
        <v>2992.9700475608579</v>
      </c>
      <c r="E62" s="365">
        <f>+D62*1.2</f>
        <v>3591.5640570730293</v>
      </c>
      <c r="F62" s="365">
        <f>+E62*1.2</f>
        <v>4309.876868487635</v>
      </c>
      <c r="G62" s="365">
        <f>+F62*1.2</f>
        <v>5171.8522421851621</v>
      </c>
      <c r="H62" s="365">
        <f>+G62*1.2</f>
        <v>6206.222690622194</v>
      </c>
    </row>
    <row r="63" spans="2:8" ht="13.5" thickBot="1">
      <c r="B63" s="299" t="s">
        <v>392</v>
      </c>
      <c r="C63" s="356"/>
      <c r="D63" s="356">
        <v>0</v>
      </c>
      <c r="E63" s="356">
        <v>0</v>
      </c>
      <c r="F63" s="356">
        <v>0</v>
      </c>
      <c r="G63" s="356">
        <v>0</v>
      </c>
      <c r="H63" s="356">
        <v>0</v>
      </c>
    </row>
    <row r="64" spans="2:8" ht="13.5" thickBot="1">
      <c r="B64" s="299" t="s">
        <v>505</v>
      </c>
      <c r="C64" s="356">
        <f>+'FLUJO FONDO COOP'!O20</f>
        <v>0</v>
      </c>
      <c r="D64" s="356">
        <f>+D31</f>
        <v>11906.556124623603</v>
      </c>
      <c r="E64" s="356">
        <f t="shared" ref="E64:H64" si="19">+E31</f>
        <v>12495.930652792471</v>
      </c>
      <c r="F64" s="356">
        <f t="shared" si="19"/>
        <v>13114.479220105695</v>
      </c>
      <c r="G64" s="356">
        <f t="shared" si="19"/>
        <v>21282.878890824453</v>
      </c>
      <c r="H64" s="356">
        <f t="shared" si="19"/>
        <v>14444.946415605227</v>
      </c>
    </row>
    <row r="65" spans="2:8" ht="13.5" thickBot="1">
      <c r="B65" s="299" t="s">
        <v>513</v>
      </c>
      <c r="C65" s="356">
        <f>+'FLUJO FONDO COOP'!O21</f>
        <v>11800</v>
      </c>
      <c r="D65" s="304">
        <f>+C65*1.15</f>
        <v>13569.999999999998</v>
      </c>
      <c r="E65" s="304">
        <f t="shared" ref="E65:H67" si="20">+D65*1.2</f>
        <v>16283.999999999996</v>
      </c>
      <c r="F65" s="304">
        <f t="shared" si="20"/>
        <v>19540.799999999996</v>
      </c>
      <c r="G65" s="304">
        <f t="shared" si="20"/>
        <v>23448.959999999995</v>
      </c>
      <c r="H65" s="356">
        <f t="shared" si="20"/>
        <v>28138.751999999993</v>
      </c>
    </row>
    <row r="66" spans="2:8" ht="13.5" thickBot="1">
      <c r="B66" s="299" t="s">
        <v>514</v>
      </c>
      <c r="C66" s="356">
        <f>+'FLUJO FONDO COOP'!O22</f>
        <v>3540</v>
      </c>
      <c r="D66" s="374">
        <f>+C66*15%</f>
        <v>531</v>
      </c>
      <c r="E66" s="374">
        <f t="shared" si="20"/>
        <v>637.19999999999993</v>
      </c>
      <c r="F66" s="374">
        <f t="shared" si="20"/>
        <v>764.63999999999987</v>
      </c>
      <c r="G66" s="374">
        <f t="shared" si="20"/>
        <v>917.56799999999987</v>
      </c>
      <c r="H66" s="374">
        <f t="shared" si="20"/>
        <v>1101.0815999999998</v>
      </c>
    </row>
    <row r="67" spans="2:8" ht="13.5" thickBot="1">
      <c r="B67" s="299" t="s">
        <v>511</v>
      </c>
      <c r="C67" s="356">
        <f>+'FLUJO FONDO COOP'!O23</f>
        <v>25064.230000759999</v>
      </c>
      <c r="D67" s="365">
        <f>+C67*1.15</f>
        <v>28823.864500873995</v>
      </c>
      <c r="E67" s="365">
        <f t="shared" si="20"/>
        <v>34588.637401048793</v>
      </c>
      <c r="F67" s="365">
        <f t="shared" si="20"/>
        <v>41506.364881258552</v>
      </c>
      <c r="G67" s="365">
        <f t="shared" si="20"/>
        <v>49807.637857510264</v>
      </c>
      <c r="H67" s="365">
        <f t="shared" si="20"/>
        <v>59769.165429012312</v>
      </c>
    </row>
    <row r="68" spans="2:8" ht="13.5" thickBot="1">
      <c r="B68" s="299" t="s">
        <v>153</v>
      </c>
      <c r="C68" s="356">
        <f>SUM(C60:C67)</f>
        <v>60638.223745795716</v>
      </c>
      <c r="D68" s="356">
        <f>SUM(D58:D67)</f>
        <v>51397.238323431375</v>
      </c>
      <c r="E68" s="356">
        <f t="shared" ref="E68:H68" si="21">SUM(E58:E67)</f>
        <v>36430.641097205036</v>
      </c>
      <c r="F68" s="356">
        <f t="shared" si="21"/>
        <v>39230.3296601002</v>
      </c>
      <c r="G68" s="356">
        <f t="shared" si="21"/>
        <v>50510.910664184041</v>
      </c>
      <c r="H68" s="356">
        <f t="shared" si="21"/>
        <v>55297.046946063783</v>
      </c>
    </row>
    <row r="69" spans="2:8" ht="13.5" thickBot="1">
      <c r="B69" s="301"/>
      <c r="C69" s="304"/>
      <c r="D69" s="310"/>
      <c r="E69" s="310"/>
      <c r="F69" s="310"/>
      <c r="G69" s="310"/>
      <c r="H69" s="310"/>
    </row>
    <row r="70" spans="2:8" ht="13.5" thickBot="1">
      <c r="B70" s="302" t="s">
        <v>154</v>
      </c>
      <c r="C70" s="304"/>
      <c r="D70" s="304"/>
      <c r="E70" s="304"/>
      <c r="F70" s="304"/>
      <c r="G70" s="304"/>
      <c r="H70" s="304"/>
    </row>
    <row r="71" spans="2:8" ht="13.5" thickBot="1">
      <c r="B71" s="302" t="s">
        <v>546</v>
      </c>
      <c r="C71" s="356">
        <f>+C60</f>
        <v>17631.411094982799</v>
      </c>
      <c r="D71" s="304"/>
      <c r="E71" s="304"/>
      <c r="F71" s="304"/>
      <c r="G71" s="304"/>
      <c r="H71" s="304"/>
    </row>
    <row r="72" spans="2:8" ht="13.5" thickBot="1">
      <c r="B72" s="299" t="s">
        <v>389</v>
      </c>
      <c r="C72" s="304">
        <v>0</v>
      </c>
      <c r="D72" s="307">
        <f>+'FLUJO FONDO COOP'!O21*0.25</f>
        <v>2950</v>
      </c>
      <c r="E72" s="375">
        <f>+D72*1.15</f>
        <v>3392.4999999999995</v>
      </c>
      <c r="F72" s="375">
        <f>+E72*1.2</f>
        <v>4070.9999999999991</v>
      </c>
      <c r="G72" s="375">
        <f>+F72*1.2</f>
        <v>4885.1999999999989</v>
      </c>
      <c r="H72" s="375">
        <f>+G72*1.2</f>
        <v>5862.2399999999989</v>
      </c>
    </row>
    <row r="73" spans="2:8" ht="13.5" thickBot="1">
      <c r="B73" s="308" t="s">
        <v>510</v>
      </c>
      <c r="C73" s="368">
        <f>+'FLUJO FONDO COOP'!O28</f>
        <v>88.499999999999986</v>
      </c>
      <c r="D73" s="369">
        <f>+C73*1.15</f>
        <v>101.77499999999998</v>
      </c>
      <c r="E73" s="369">
        <f t="shared" ref="E73:H74" si="22">+D73*1.2</f>
        <v>122.12999999999997</v>
      </c>
      <c r="F73" s="369">
        <f t="shared" si="22"/>
        <v>146.55599999999995</v>
      </c>
      <c r="G73" s="369">
        <f t="shared" si="22"/>
        <v>175.86719999999994</v>
      </c>
      <c r="H73" s="369">
        <f t="shared" si="22"/>
        <v>211.04063999999991</v>
      </c>
    </row>
    <row r="74" spans="2:8" ht="13.5" thickBot="1">
      <c r="B74" s="301" t="s">
        <v>547</v>
      </c>
      <c r="C74" s="368">
        <f>+'FLUJO FONDO COOP'!O29</f>
        <v>29.499999999999996</v>
      </c>
      <c r="D74" s="369">
        <f>+C74*1.15</f>
        <v>33.92499999999999</v>
      </c>
      <c r="E74" s="369">
        <f t="shared" si="22"/>
        <v>40.709999999999987</v>
      </c>
      <c r="F74" s="369">
        <f t="shared" si="22"/>
        <v>48.851999999999983</v>
      </c>
      <c r="G74" s="369">
        <f t="shared" si="22"/>
        <v>58.622399999999978</v>
      </c>
      <c r="H74" s="369">
        <f t="shared" si="22"/>
        <v>70.34687999999997</v>
      </c>
    </row>
    <row r="75" spans="2:8" ht="13.5" thickBot="1">
      <c r="B75" s="301" t="s">
        <v>516</v>
      </c>
      <c r="C75" s="356">
        <f>+'FLUJO FONDO COOP'!O30</f>
        <v>4822.4749999999985</v>
      </c>
      <c r="D75" s="370">
        <f>+'FLUJO FONDO COOP'!R21*D14</f>
        <v>6073.4250149999998</v>
      </c>
      <c r="E75" s="370">
        <f>+D75*D14</f>
        <v>6374.0595532425004</v>
      </c>
      <c r="F75" s="366">
        <f>+E75*D14</f>
        <v>6689.5755011280053</v>
      </c>
      <c r="G75" s="366">
        <f>+F75*D14</f>
        <v>7020.7094884338421</v>
      </c>
      <c r="H75" s="366">
        <f>+G75*D14</f>
        <v>7368.2346081113183</v>
      </c>
    </row>
    <row r="76" spans="2:8" ht="13.5" thickBot="1">
      <c r="B76" s="354" t="s">
        <v>548</v>
      </c>
      <c r="C76" s="356">
        <f>+'FLUJO FONDO COOP'!O31</f>
        <v>44493.490000439997</v>
      </c>
      <c r="D76" s="374">
        <f>+C76*1.15</f>
        <v>51167.513500505993</v>
      </c>
      <c r="E76" s="374">
        <f>+D76*1.2</f>
        <v>61401.016200607191</v>
      </c>
      <c r="F76" s="374">
        <f>+E76*1.2</f>
        <v>73681.21944072863</v>
      </c>
      <c r="G76" s="374">
        <f>+F76*1.2</f>
        <v>88417.46332887435</v>
      </c>
      <c r="H76" s="374">
        <f>+G76*1.2</f>
        <v>106100.95599464922</v>
      </c>
    </row>
    <row r="77" spans="2:8" ht="13.5" thickBot="1">
      <c r="B77" s="354" t="s">
        <v>525</v>
      </c>
      <c r="C77" s="356">
        <f>+'FLUJO FONDO COOP'!O32</f>
        <v>0</v>
      </c>
      <c r="D77" s="366">
        <f>+AMORT.!E5</f>
        <v>16736.290560000001</v>
      </c>
      <c r="E77" s="307"/>
      <c r="F77" s="394"/>
      <c r="G77" s="307"/>
      <c r="H77" s="307"/>
    </row>
    <row r="78" spans="2:8" ht="13.5" thickBot="1">
      <c r="B78" s="355" t="s">
        <v>549</v>
      </c>
      <c r="C78" s="304"/>
      <c r="D78" s="366">
        <f>+AMORT.!K5</f>
        <v>5501.0002616346337</v>
      </c>
      <c r="E78" s="366">
        <f>+AMORT.!K6</f>
        <v>5106.056653107019</v>
      </c>
      <c r="F78" s="366">
        <f>+AMORT.!K7</f>
        <v>4711.1130445794042</v>
      </c>
      <c r="G78" s="366">
        <f>+AMORT.!K8</f>
        <v>4316.1694360517895</v>
      </c>
      <c r="H78" s="366">
        <f>+AMORT.!K9</f>
        <v>3921.2258275241747</v>
      </c>
    </row>
    <row r="79" spans="2:8" ht="13.5" thickBot="1">
      <c r="B79" s="355" t="s">
        <v>525</v>
      </c>
      <c r="C79" s="304"/>
      <c r="D79" s="307"/>
      <c r="E79" s="307"/>
      <c r="F79" s="307"/>
      <c r="G79" s="307"/>
      <c r="H79" s="307"/>
    </row>
    <row r="80" spans="2:8">
      <c r="B80" s="390" t="s">
        <v>444</v>
      </c>
      <c r="C80" s="391">
        <f>SUM(C71:C79)</f>
        <v>67065.376095422791</v>
      </c>
      <c r="D80" s="391">
        <f t="shared" ref="D80:H80" si="23">SUM(D71:D79)</f>
        <v>82563.929337140624</v>
      </c>
      <c r="E80" s="391">
        <f t="shared" si="23"/>
        <v>76436.472406956716</v>
      </c>
      <c r="F80" s="391">
        <f t="shared" si="23"/>
        <v>89348.315986436035</v>
      </c>
      <c r="G80" s="391">
        <f t="shared" si="23"/>
        <v>104874.03185335998</v>
      </c>
      <c r="H80" s="391">
        <f t="shared" si="23"/>
        <v>123534.04395028471</v>
      </c>
    </row>
    <row r="81" spans="2:8">
      <c r="B81" s="392" t="s">
        <v>445</v>
      </c>
      <c r="C81" s="393">
        <f>+C68-C80</f>
        <v>-6427.1523496270747</v>
      </c>
      <c r="D81" s="393">
        <f t="shared" ref="D81:H81" si="24">+D68-D80</f>
        <v>-31166.691013709249</v>
      </c>
      <c r="E81" s="393">
        <f t="shared" si="24"/>
        <v>-40005.83130975168</v>
      </c>
      <c r="F81" s="393">
        <f t="shared" si="24"/>
        <v>-50117.986326335835</v>
      </c>
      <c r="G81" s="393">
        <f t="shared" si="24"/>
        <v>-54363.121189175938</v>
      </c>
      <c r="H81" s="393">
        <f t="shared" si="24"/>
        <v>-68236.997004220932</v>
      </c>
    </row>
    <row r="84" spans="2:8">
      <c r="D84">
        <v>19163.2</v>
      </c>
      <c r="E84">
        <f>+D84*1.15</f>
        <v>22037.68</v>
      </c>
    </row>
    <row r="85" spans="2:8">
      <c r="E85">
        <f>+D84+E84</f>
        <v>41200.880000000005</v>
      </c>
    </row>
    <row r="86" spans="2:8">
      <c r="D86">
        <f>+C76*1.15</f>
        <v>51167.513500505993</v>
      </c>
    </row>
    <row r="87" spans="2:8">
      <c r="C87">
        <f>25245.77+9717.92</f>
        <v>34963.69</v>
      </c>
      <c r="E87">
        <f>+E72*1.2</f>
        <v>4070.9999999999991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G42"/>
  <sheetViews>
    <sheetView topLeftCell="A16" zoomScale="90" zoomScaleNormal="90" workbookViewId="0">
      <selection activeCell="D25" sqref="D25"/>
    </sheetView>
  </sheetViews>
  <sheetFormatPr baseColWidth="10" defaultRowHeight="15"/>
  <cols>
    <col min="1" max="1" width="10.140625" style="560" customWidth="1"/>
    <col min="2" max="2" width="34.7109375" style="560" customWidth="1"/>
    <col min="3" max="3" width="13.140625" style="560" customWidth="1"/>
    <col min="4" max="4" width="11.7109375" style="570" customWidth="1"/>
    <col min="5" max="256" width="11.42578125" style="560"/>
    <col min="257" max="257" width="13.28515625" style="560" customWidth="1"/>
    <col min="258" max="258" width="40.7109375" style="560" customWidth="1"/>
    <col min="259" max="259" width="14" style="560" customWidth="1"/>
    <col min="260" max="260" width="12.7109375" style="560" bestFit="1" customWidth="1"/>
    <col min="261" max="512" width="11.42578125" style="560"/>
    <col min="513" max="513" width="13.28515625" style="560" customWidth="1"/>
    <col min="514" max="514" width="40.7109375" style="560" customWidth="1"/>
    <col min="515" max="515" width="14" style="560" customWidth="1"/>
    <col min="516" max="516" width="12.7109375" style="560" bestFit="1" customWidth="1"/>
    <col min="517" max="768" width="11.42578125" style="560"/>
    <col min="769" max="769" width="13.28515625" style="560" customWidth="1"/>
    <col min="770" max="770" width="40.7109375" style="560" customWidth="1"/>
    <col min="771" max="771" width="14" style="560" customWidth="1"/>
    <col min="772" max="772" width="12.7109375" style="560" bestFit="1" customWidth="1"/>
    <col min="773" max="1024" width="11.42578125" style="560"/>
    <col min="1025" max="1025" width="13.28515625" style="560" customWidth="1"/>
    <col min="1026" max="1026" width="40.7109375" style="560" customWidth="1"/>
    <col min="1027" max="1027" width="14" style="560" customWidth="1"/>
    <col min="1028" max="1028" width="12.7109375" style="560" bestFit="1" customWidth="1"/>
    <col min="1029" max="1280" width="11.42578125" style="560"/>
    <col min="1281" max="1281" width="13.28515625" style="560" customWidth="1"/>
    <col min="1282" max="1282" width="40.7109375" style="560" customWidth="1"/>
    <col min="1283" max="1283" width="14" style="560" customWidth="1"/>
    <col min="1284" max="1284" width="12.7109375" style="560" bestFit="1" customWidth="1"/>
    <col min="1285" max="1536" width="11.42578125" style="560"/>
    <col min="1537" max="1537" width="13.28515625" style="560" customWidth="1"/>
    <col min="1538" max="1538" width="40.7109375" style="560" customWidth="1"/>
    <col min="1539" max="1539" width="14" style="560" customWidth="1"/>
    <col min="1540" max="1540" width="12.7109375" style="560" bestFit="1" customWidth="1"/>
    <col min="1541" max="1792" width="11.42578125" style="560"/>
    <col min="1793" max="1793" width="13.28515625" style="560" customWidth="1"/>
    <col min="1794" max="1794" width="40.7109375" style="560" customWidth="1"/>
    <col min="1795" max="1795" width="14" style="560" customWidth="1"/>
    <col min="1796" max="1796" width="12.7109375" style="560" bestFit="1" customWidth="1"/>
    <col min="1797" max="2048" width="11.42578125" style="560"/>
    <col min="2049" max="2049" width="13.28515625" style="560" customWidth="1"/>
    <col min="2050" max="2050" width="40.7109375" style="560" customWidth="1"/>
    <col min="2051" max="2051" width="14" style="560" customWidth="1"/>
    <col min="2052" max="2052" width="12.7109375" style="560" bestFit="1" customWidth="1"/>
    <col min="2053" max="2304" width="11.42578125" style="560"/>
    <col min="2305" max="2305" width="13.28515625" style="560" customWidth="1"/>
    <col min="2306" max="2306" width="40.7109375" style="560" customWidth="1"/>
    <col min="2307" max="2307" width="14" style="560" customWidth="1"/>
    <col min="2308" max="2308" width="12.7109375" style="560" bestFit="1" customWidth="1"/>
    <col min="2309" max="2560" width="11.42578125" style="560"/>
    <col min="2561" max="2561" width="13.28515625" style="560" customWidth="1"/>
    <col min="2562" max="2562" width="40.7109375" style="560" customWidth="1"/>
    <col min="2563" max="2563" width="14" style="560" customWidth="1"/>
    <col min="2564" max="2564" width="12.7109375" style="560" bestFit="1" customWidth="1"/>
    <col min="2565" max="2816" width="11.42578125" style="560"/>
    <col min="2817" max="2817" width="13.28515625" style="560" customWidth="1"/>
    <col min="2818" max="2818" width="40.7109375" style="560" customWidth="1"/>
    <col min="2819" max="2819" width="14" style="560" customWidth="1"/>
    <col min="2820" max="2820" width="12.7109375" style="560" bestFit="1" customWidth="1"/>
    <col min="2821" max="3072" width="11.42578125" style="560"/>
    <col min="3073" max="3073" width="13.28515625" style="560" customWidth="1"/>
    <col min="3074" max="3074" width="40.7109375" style="560" customWidth="1"/>
    <col min="3075" max="3075" width="14" style="560" customWidth="1"/>
    <col min="3076" max="3076" width="12.7109375" style="560" bestFit="1" customWidth="1"/>
    <col min="3077" max="3328" width="11.42578125" style="560"/>
    <col min="3329" max="3329" width="13.28515625" style="560" customWidth="1"/>
    <col min="3330" max="3330" width="40.7109375" style="560" customWidth="1"/>
    <col min="3331" max="3331" width="14" style="560" customWidth="1"/>
    <col min="3332" max="3332" width="12.7109375" style="560" bestFit="1" customWidth="1"/>
    <col min="3333" max="3584" width="11.42578125" style="560"/>
    <col min="3585" max="3585" width="13.28515625" style="560" customWidth="1"/>
    <col min="3586" max="3586" width="40.7109375" style="560" customWidth="1"/>
    <col min="3587" max="3587" width="14" style="560" customWidth="1"/>
    <col min="3588" max="3588" width="12.7109375" style="560" bestFit="1" customWidth="1"/>
    <col min="3589" max="3840" width="11.42578125" style="560"/>
    <col min="3841" max="3841" width="13.28515625" style="560" customWidth="1"/>
    <col min="3842" max="3842" width="40.7109375" style="560" customWidth="1"/>
    <col min="3843" max="3843" width="14" style="560" customWidth="1"/>
    <col min="3844" max="3844" width="12.7109375" style="560" bestFit="1" customWidth="1"/>
    <col min="3845" max="4096" width="11.42578125" style="560"/>
    <col min="4097" max="4097" width="13.28515625" style="560" customWidth="1"/>
    <col min="4098" max="4098" width="40.7109375" style="560" customWidth="1"/>
    <col min="4099" max="4099" width="14" style="560" customWidth="1"/>
    <col min="4100" max="4100" width="12.7109375" style="560" bestFit="1" customWidth="1"/>
    <col min="4101" max="4352" width="11.42578125" style="560"/>
    <col min="4353" max="4353" width="13.28515625" style="560" customWidth="1"/>
    <col min="4354" max="4354" width="40.7109375" style="560" customWidth="1"/>
    <col min="4355" max="4355" width="14" style="560" customWidth="1"/>
    <col min="4356" max="4356" width="12.7109375" style="560" bestFit="1" customWidth="1"/>
    <col min="4357" max="4608" width="11.42578125" style="560"/>
    <col min="4609" max="4609" width="13.28515625" style="560" customWidth="1"/>
    <col min="4610" max="4610" width="40.7109375" style="560" customWidth="1"/>
    <col min="4611" max="4611" width="14" style="560" customWidth="1"/>
    <col min="4612" max="4612" width="12.7109375" style="560" bestFit="1" customWidth="1"/>
    <col min="4613" max="4864" width="11.42578125" style="560"/>
    <col min="4865" max="4865" width="13.28515625" style="560" customWidth="1"/>
    <col min="4866" max="4866" width="40.7109375" style="560" customWidth="1"/>
    <col min="4867" max="4867" width="14" style="560" customWidth="1"/>
    <col min="4868" max="4868" width="12.7109375" style="560" bestFit="1" customWidth="1"/>
    <col min="4869" max="5120" width="11.42578125" style="560"/>
    <col min="5121" max="5121" width="13.28515625" style="560" customWidth="1"/>
    <col min="5122" max="5122" width="40.7109375" style="560" customWidth="1"/>
    <col min="5123" max="5123" width="14" style="560" customWidth="1"/>
    <col min="5124" max="5124" width="12.7109375" style="560" bestFit="1" customWidth="1"/>
    <col min="5125" max="5376" width="11.42578125" style="560"/>
    <col min="5377" max="5377" width="13.28515625" style="560" customWidth="1"/>
    <col min="5378" max="5378" width="40.7109375" style="560" customWidth="1"/>
    <col min="5379" max="5379" width="14" style="560" customWidth="1"/>
    <col min="5380" max="5380" width="12.7109375" style="560" bestFit="1" customWidth="1"/>
    <col min="5381" max="5632" width="11.42578125" style="560"/>
    <col min="5633" max="5633" width="13.28515625" style="560" customWidth="1"/>
    <col min="5634" max="5634" width="40.7109375" style="560" customWidth="1"/>
    <col min="5635" max="5635" width="14" style="560" customWidth="1"/>
    <col min="5636" max="5636" width="12.7109375" style="560" bestFit="1" customWidth="1"/>
    <col min="5637" max="5888" width="11.42578125" style="560"/>
    <col min="5889" max="5889" width="13.28515625" style="560" customWidth="1"/>
    <col min="5890" max="5890" width="40.7109375" style="560" customWidth="1"/>
    <col min="5891" max="5891" width="14" style="560" customWidth="1"/>
    <col min="5892" max="5892" width="12.7109375" style="560" bestFit="1" customWidth="1"/>
    <col min="5893" max="6144" width="11.42578125" style="560"/>
    <col min="6145" max="6145" width="13.28515625" style="560" customWidth="1"/>
    <col min="6146" max="6146" width="40.7109375" style="560" customWidth="1"/>
    <col min="6147" max="6147" width="14" style="560" customWidth="1"/>
    <col min="6148" max="6148" width="12.7109375" style="560" bestFit="1" customWidth="1"/>
    <col min="6149" max="6400" width="11.42578125" style="560"/>
    <col min="6401" max="6401" width="13.28515625" style="560" customWidth="1"/>
    <col min="6402" max="6402" width="40.7109375" style="560" customWidth="1"/>
    <col min="6403" max="6403" width="14" style="560" customWidth="1"/>
    <col min="6404" max="6404" width="12.7109375" style="560" bestFit="1" customWidth="1"/>
    <col min="6405" max="6656" width="11.42578125" style="560"/>
    <col min="6657" max="6657" width="13.28515625" style="560" customWidth="1"/>
    <col min="6658" max="6658" width="40.7109375" style="560" customWidth="1"/>
    <col min="6659" max="6659" width="14" style="560" customWidth="1"/>
    <col min="6660" max="6660" width="12.7109375" style="560" bestFit="1" customWidth="1"/>
    <col min="6661" max="6912" width="11.42578125" style="560"/>
    <col min="6913" max="6913" width="13.28515625" style="560" customWidth="1"/>
    <col min="6914" max="6914" width="40.7109375" style="560" customWidth="1"/>
    <col min="6915" max="6915" width="14" style="560" customWidth="1"/>
    <col min="6916" max="6916" width="12.7109375" style="560" bestFit="1" customWidth="1"/>
    <col min="6917" max="7168" width="11.42578125" style="560"/>
    <col min="7169" max="7169" width="13.28515625" style="560" customWidth="1"/>
    <col min="7170" max="7170" width="40.7109375" style="560" customWidth="1"/>
    <col min="7171" max="7171" width="14" style="560" customWidth="1"/>
    <col min="7172" max="7172" width="12.7109375" style="560" bestFit="1" customWidth="1"/>
    <col min="7173" max="7424" width="11.42578125" style="560"/>
    <col min="7425" max="7425" width="13.28515625" style="560" customWidth="1"/>
    <col min="7426" max="7426" width="40.7109375" style="560" customWidth="1"/>
    <col min="7427" max="7427" width="14" style="560" customWidth="1"/>
    <col min="7428" max="7428" width="12.7109375" style="560" bestFit="1" customWidth="1"/>
    <col min="7429" max="7680" width="11.42578125" style="560"/>
    <col min="7681" max="7681" width="13.28515625" style="560" customWidth="1"/>
    <col min="7682" max="7682" width="40.7109375" style="560" customWidth="1"/>
    <col min="7683" max="7683" width="14" style="560" customWidth="1"/>
    <col min="7684" max="7684" width="12.7109375" style="560" bestFit="1" customWidth="1"/>
    <col min="7685" max="7936" width="11.42578125" style="560"/>
    <col min="7937" max="7937" width="13.28515625" style="560" customWidth="1"/>
    <col min="7938" max="7938" width="40.7109375" style="560" customWidth="1"/>
    <col min="7939" max="7939" width="14" style="560" customWidth="1"/>
    <col min="7940" max="7940" width="12.7109375" style="560" bestFit="1" customWidth="1"/>
    <col min="7941" max="8192" width="11.42578125" style="560"/>
    <col min="8193" max="8193" width="13.28515625" style="560" customWidth="1"/>
    <col min="8194" max="8194" width="40.7109375" style="560" customWidth="1"/>
    <col min="8195" max="8195" width="14" style="560" customWidth="1"/>
    <col min="8196" max="8196" width="12.7109375" style="560" bestFit="1" customWidth="1"/>
    <col min="8197" max="8448" width="11.42578125" style="560"/>
    <col min="8449" max="8449" width="13.28515625" style="560" customWidth="1"/>
    <col min="8450" max="8450" width="40.7109375" style="560" customWidth="1"/>
    <col min="8451" max="8451" width="14" style="560" customWidth="1"/>
    <col min="8452" max="8452" width="12.7109375" style="560" bestFit="1" customWidth="1"/>
    <col min="8453" max="8704" width="11.42578125" style="560"/>
    <col min="8705" max="8705" width="13.28515625" style="560" customWidth="1"/>
    <col min="8706" max="8706" width="40.7109375" style="560" customWidth="1"/>
    <col min="8707" max="8707" width="14" style="560" customWidth="1"/>
    <col min="8708" max="8708" width="12.7109375" style="560" bestFit="1" customWidth="1"/>
    <col min="8709" max="8960" width="11.42578125" style="560"/>
    <col min="8961" max="8961" width="13.28515625" style="560" customWidth="1"/>
    <col min="8962" max="8962" width="40.7109375" style="560" customWidth="1"/>
    <col min="8963" max="8963" width="14" style="560" customWidth="1"/>
    <col min="8964" max="8964" width="12.7109375" style="560" bestFit="1" customWidth="1"/>
    <col min="8965" max="9216" width="11.42578125" style="560"/>
    <col min="9217" max="9217" width="13.28515625" style="560" customWidth="1"/>
    <col min="9218" max="9218" width="40.7109375" style="560" customWidth="1"/>
    <col min="9219" max="9219" width="14" style="560" customWidth="1"/>
    <col min="9220" max="9220" width="12.7109375" style="560" bestFit="1" customWidth="1"/>
    <col min="9221" max="9472" width="11.42578125" style="560"/>
    <col min="9473" max="9473" width="13.28515625" style="560" customWidth="1"/>
    <col min="9474" max="9474" width="40.7109375" style="560" customWidth="1"/>
    <col min="9475" max="9475" width="14" style="560" customWidth="1"/>
    <col min="9476" max="9476" width="12.7109375" style="560" bestFit="1" customWidth="1"/>
    <col min="9477" max="9728" width="11.42578125" style="560"/>
    <col min="9729" max="9729" width="13.28515625" style="560" customWidth="1"/>
    <col min="9730" max="9730" width="40.7109375" style="560" customWidth="1"/>
    <col min="9731" max="9731" width="14" style="560" customWidth="1"/>
    <col min="9732" max="9732" width="12.7109375" style="560" bestFit="1" customWidth="1"/>
    <col min="9733" max="9984" width="11.42578125" style="560"/>
    <col min="9985" max="9985" width="13.28515625" style="560" customWidth="1"/>
    <col min="9986" max="9986" width="40.7109375" style="560" customWidth="1"/>
    <col min="9987" max="9987" width="14" style="560" customWidth="1"/>
    <col min="9988" max="9988" width="12.7109375" style="560" bestFit="1" customWidth="1"/>
    <col min="9989" max="10240" width="11.42578125" style="560"/>
    <col min="10241" max="10241" width="13.28515625" style="560" customWidth="1"/>
    <col min="10242" max="10242" width="40.7109375" style="560" customWidth="1"/>
    <col min="10243" max="10243" width="14" style="560" customWidth="1"/>
    <col min="10244" max="10244" width="12.7109375" style="560" bestFit="1" customWidth="1"/>
    <col min="10245" max="10496" width="11.42578125" style="560"/>
    <col min="10497" max="10497" width="13.28515625" style="560" customWidth="1"/>
    <col min="10498" max="10498" width="40.7109375" style="560" customWidth="1"/>
    <col min="10499" max="10499" width="14" style="560" customWidth="1"/>
    <col min="10500" max="10500" width="12.7109375" style="560" bestFit="1" customWidth="1"/>
    <col min="10501" max="10752" width="11.42578125" style="560"/>
    <col min="10753" max="10753" width="13.28515625" style="560" customWidth="1"/>
    <col min="10754" max="10754" width="40.7109375" style="560" customWidth="1"/>
    <col min="10755" max="10755" width="14" style="560" customWidth="1"/>
    <col min="10756" max="10756" width="12.7109375" style="560" bestFit="1" customWidth="1"/>
    <col min="10757" max="11008" width="11.42578125" style="560"/>
    <col min="11009" max="11009" width="13.28515625" style="560" customWidth="1"/>
    <col min="11010" max="11010" width="40.7109375" style="560" customWidth="1"/>
    <col min="11011" max="11011" width="14" style="560" customWidth="1"/>
    <col min="11012" max="11012" width="12.7109375" style="560" bestFit="1" customWidth="1"/>
    <col min="11013" max="11264" width="11.42578125" style="560"/>
    <col min="11265" max="11265" width="13.28515625" style="560" customWidth="1"/>
    <col min="11266" max="11266" width="40.7109375" style="560" customWidth="1"/>
    <col min="11267" max="11267" width="14" style="560" customWidth="1"/>
    <col min="11268" max="11268" width="12.7109375" style="560" bestFit="1" customWidth="1"/>
    <col min="11269" max="11520" width="11.42578125" style="560"/>
    <col min="11521" max="11521" width="13.28515625" style="560" customWidth="1"/>
    <col min="11522" max="11522" width="40.7109375" style="560" customWidth="1"/>
    <col min="11523" max="11523" width="14" style="560" customWidth="1"/>
    <col min="11524" max="11524" width="12.7109375" style="560" bestFit="1" customWidth="1"/>
    <col min="11525" max="11776" width="11.42578125" style="560"/>
    <col min="11777" max="11777" width="13.28515625" style="560" customWidth="1"/>
    <col min="11778" max="11778" width="40.7109375" style="560" customWidth="1"/>
    <col min="11779" max="11779" width="14" style="560" customWidth="1"/>
    <col min="11780" max="11780" width="12.7109375" style="560" bestFit="1" customWidth="1"/>
    <col min="11781" max="12032" width="11.42578125" style="560"/>
    <col min="12033" max="12033" width="13.28515625" style="560" customWidth="1"/>
    <col min="12034" max="12034" width="40.7109375" style="560" customWidth="1"/>
    <col min="12035" max="12035" width="14" style="560" customWidth="1"/>
    <col min="12036" max="12036" width="12.7109375" style="560" bestFit="1" customWidth="1"/>
    <col min="12037" max="12288" width="11.42578125" style="560"/>
    <col min="12289" max="12289" width="13.28515625" style="560" customWidth="1"/>
    <col min="12290" max="12290" width="40.7109375" style="560" customWidth="1"/>
    <col min="12291" max="12291" width="14" style="560" customWidth="1"/>
    <col min="12292" max="12292" width="12.7109375" style="560" bestFit="1" customWidth="1"/>
    <col min="12293" max="12544" width="11.42578125" style="560"/>
    <col min="12545" max="12545" width="13.28515625" style="560" customWidth="1"/>
    <col min="12546" max="12546" width="40.7109375" style="560" customWidth="1"/>
    <col min="12547" max="12547" width="14" style="560" customWidth="1"/>
    <col min="12548" max="12548" width="12.7109375" style="560" bestFit="1" customWidth="1"/>
    <col min="12549" max="12800" width="11.42578125" style="560"/>
    <col min="12801" max="12801" width="13.28515625" style="560" customWidth="1"/>
    <col min="12802" max="12802" width="40.7109375" style="560" customWidth="1"/>
    <col min="12803" max="12803" width="14" style="560" customWidth="1"/>
    <col min="12804" max="12804" width="12.7109375" style="560" bestFit="1" customWidth="1"/>
    <col min="12805" max="13056" width="11.42578125" style="560"/>
    <col min="13057" max="13057" width="13.28515625" style="560" customWidth="1"/>
    <col min="13058" max="13058" width="40.7109375" style="560" customWidth="1"/>
    <col min="13059" max="13059" width="14" style="560" customWidth="1"/>
    <col min="13060" max="13060" width="12.7109375" style="560" bestFit="1" customWidth="1"/>
    <col min="13061" max="13312" width="11.42578125" style="560"/>
    <col min="13313" max="13313" width="13.28515625" style="560" customWidth="1"/>
    <col min="13314" max="13314" width="40.7109375" style="560" customWidth="1"/>
    <col min="13315" max="13315" width="14" style="560" customWidth="1"/>
    <col min="13316" max="13316" width="12.7109375" style="560" bestFit="1" customWidth="1"/>
    <col min="13317" max="13568" width="11.42578125" style="560"/>
    <col min="13569" max="13569" width="13.28515625" style="560" customWidth="1"/>
    <col min="13570" max="13570" width="40.7109375" style="560" customWidth="1"/>
    <col min="13571" max="13571" width="14" style="560" customWidth="1"/>
    <col min="13572" max="13572" width="12.7109375" style="560" bestFit="1" customWidth="1"/>
    <col min="13573" max="13824" width="11.42578125" style="560"/>
    <col min="13825" max="13825" width="13.28515625" style="560" customWidth="1"/>
    <col min="13826" max="13826" width="40.7109375" style="560" customWidth="1"/>
    <col min="13827" max="13827" width="14" style="560" customWidth="1"/>
    <col min="13828" max="13828" width="12.7109375" style="560" bestFit="1" customWidth="1"/>
    <col min="13829" max="14080" width="11.42578125" style="560"/>
    <col min="14081" max="14081" width="13.28515625" style="560" customWidth="1"/>
    <col min="14082" max="14082" width="40.7109375" style="560" customWidth="1"/>
    <col min="14083" max="14083" width="14" style="560" customWidth="1"/>
    <col min="14084" max="14084" width="12.7109375" style="560" bestFit="1" customWidth="1"/>
    <col min="14085" max="14336" width="11.42578125" style="560"/>
    <col min="14337" max="14337" width="13.28515625" style="560" customWidth="1"/>
    <col min="14338" max="14338" width="40.7109375" style="560" customWidth="1"/>
    <col min="14339" max="14339" width="14" style="560" customWidth="1"/>
    <col min="14340" max="14340" width="12.7109375" style="560" bestFit="1" customWidth="1"/>
    <col min="14341" max="14592" width="11.42578125" style="560"/>
    <col min="14593" max="14593" width="13.28515625" style="560" customWidth="1"/>
    <col min="14594" max="14594" width="40.7109375" style="560" customWidth="1"/>
    <col min="14595" max="14595" width="14" style="560" customWidth="1"/>
    <col min="14596" max="14596" width="12.7109375" style="560" bestFit="1" customWidth="1"/>
    <col min="14597" max="14848" width="11.42578125" style="560"/>
    <col min="14849" max="14849" width="13.28515625" style="560" customWidth="1"/>
    <col min="14850" max="14850" width="40.7109375" style="560" customWidth="1"/>
    <col min="14851" max="14851" width="14" style="560" customWidth="1"/>
    <col min="14852" max="14852" width="12.7109375" style="560" bestFit="1" customWidth="1"/>
    <col min="14853" max="15104" width="11.42578125" style="560"/>
    <col min="15105" max="15105" width="13.28515625" style="560" customWidth="1"/>
    <col min="15106" max="15106" width="40.7109375" style="560" customWidth="1"/>
    <col min="15107" max="15107" width="14" style="560" customWidth="1"/>
    <col min="15108" max="15108" width="12.7109375" style="560" bestFit="1" customWidth="1"/>
    <col min="15109" max="15360" width="11.42578125" style="560"/>
    <col min="15361" max="15361" width="13.28515625" style="560" customWidth="1"/>
    <col min="15362" max="15362" width="40.7109375" style="560" customWidth="1"/>
    <col min="15363" max="15363" width="14" style="560" customWidth="1"/>
    <col min="15364" max="15364" width="12.7109375" style="560" bestFit="1" customWidth="1"/>
    <col min="15365" max="15616" width="11.42578125" style="560"/>
    <col min="15617" max="15617" width="13.28515625" style="560" customWidth="1"/>
    <col min="15618" max="15618" width="40.7109375" style="560" customWidth="1"/>
    <col min="15619" max="15619" width="14" style="560" customWidth="1"/>
    <col min="15620" max="15620" width="12.7109375" style="560" bestFit="1" customWidth="1"/>
    <col min="15621" max="15872" width="11.42578125" style="560"/>
    <col min="15873" max="15873" width="13.28515625" style="560" customWidth="1"/>
    <col min="15874" max="15874" width="40.7109375" style="560" customWidth="1"/>
    <col min="15875" max="15875" width="14" style="560" customWidth="1"/>
    <col min="15876" max="15876" width="12.7109375" style="560" bestFit="1" customWidth="1"/>
    <col min="15877" max="16128" width="11.42578125" style="560"/>
    <col min="16129" max="16129" width="13.28515625" style="560" customWidth="1"/>
    <col min="16130" max="16130" width="40.7109375" style="560" customWidth="1"/>
    <col min="16131" max="16131" width="14" style="560" customWidth="1"/>
    <col min="16132" max="16132" width="12.7109375" style="560" bestFit="1" customWidth="1"/>
    <col min="16133" max="16384" width="11.42578125" style="560"/>
  </cols>
  <sheetData>
    <row r="1" spans="1:5" ht="38.25" customHeight="1">
      <c r="A1" s="680" t="s">
        <v>703</v>
      </c>
      <c r="B1" s="680"/>
      <c r="C1" s="680"/>
      <c r="D1" s="680"/>
      <c r="E1" s="680"/>
    </row>
    <row r="2" spans="1:5" ht="15.75">
      <c r="A2" s="681" t="s">
        <v>741</v>
      </c>
      <c r="B2" s="681"/>
      <c r="C2" s="681"/>
      <c r="D2" s="681"/>
      <c r="E2" s="681"/>
    </row>
    <row r="3" spans="1:5" ht="15.75">
      <c r="A3" s="681" t="s">
        <v>743</v>
      </c>
      <c r="B3" s="681"/>
      <c r="C3" s="681"/>
      <c r="D3" s="681"/>
      <c r="E3" s="681"/>
    </row>
    <row r="4" spans="1:5" ht="15.75">
      <c r="A4" s="681" t="s">
        <v>742</v>
      </c>
      <c r="B4" s="681"/>
      <c r="C4" s="681"/>
      <c r="D4" s="681"/>
      <c r="E4" s="681"/>
    </row>
    <row r="5" spans="1:5" ht="15.75">
      <c r="A5" s="682" t="s">
        <v>744</v>
      </c>
      <c r="B5" s="682"/>
      <c r="C5" s="682"/>
      <c r="D5" s="682"/>
      <c r="E5" s="682"/>
    </row>
    <row r="6" spans="1:5" ht="15.75">
      <c r="A6" s="557" t="s">
        <v>184</v>
      </c>
      <c r="B6" s="685" t="s">
        <v>699</v>
      </c>
      <c r="C6" s="558" t="s">
        <v>20</v>
      </c>
      <c r="D6" s="559" t="s">
        <v>1</v>
      </c>
    </row>
    <row r="7" spans="1:5" ht="11.25" customHeight="1">
      <c r="A7" s="561"/>
      <c r="B7" s="686"/>
      <c r="C7" s="562"/>
      <c r="D7" s="563"/>
    </row>
    <row r="8" spans="1:5">
      <c r="A8" s="610" t="s">
        <v>698</v>
      </c>
      <c r="B8" s="611" t="s">
        <v>692</v>
      </c>
      <c r="C8" s="567"/>
      <c r="D8" s="567">
        <f>+C9+C10</f>
        <v>20568.760000000002</v>
      </c>
      <c r="E8" s="568"/>
    </row>
    <row r="9" spans="1:5">
      <c r="A9" s="612"/>
      <c r="B9" s="565" t="s">
        <v>701</v>
      </c>
      <c r="C9" s="567">
        <f>+balance!C6</f>
        <v>4720</v>
      </c>
      <c r="D9" s="567"/>
    </row>
    <row r="10" spans="1:5" ht="14.25" customHeight="1">
      <c r="A10" s="612"/>
      <c r="B10" s="565" t="s">
        <v>702</v>
      </c>
      <c r="C10" s="567">
        <f>+balance!C7</f>
        <v>15848.76</v>
      </c>
      <c r="D10" s="567"/>
    </row>
    <row r="11" spans="1:5" ht="7.5" customHeight="1">
      <c r="A11" s="612"/>
      <c r="B11" s="565"/>
      <c r="C11" s="567"/>
      <c r="D11" s="567"/>
    </row>
    <row r="12" spans="1:5">
      <c r="A12" s="565"/>
      <c r="B12" s="611" t="s">
        <v>681</v>
      </c>
      <c r="C12" s="567"/>
      <c r="D12" s="567">
        <f>SUM(C13:C18)</f>
        <v>23566.6110949828</v>
      </c>
    </row>
    <row r="13" spans="1:5">
      <c r="A13" s="565"/>
      <c r="B13" s="565" t="str">
        <f>+balance!B14</f>
        <v>Equipo computación</v>
      </c>
      <c r="C13" s="567">
        <f>+balance!C14</f>
        <v>415.29599999999999</v>
      </c>
      <c r="D13" s="567"/>
    </row>
    <row r="14" spans="1:5">
      <c r="A14" s="565"/>
      <c r="B14" s="565" t="str">
        <f>+balance!B15</f>
        <v>Equipos de Oficina</v>
      </c>
      <c r="C14" s="567">
        <f>+balance!C15</f>
        <v>288.39999999999998</v>
      </c>
      <c r="D14" s="567"/>
    </row>
    <row r="15" spans="1:5">
      <c r="A15" s="565"/>
      <c r="B15" s="565" t="str">
        <f>+balance!B16</f>
        <v>Equipo y maquinaria</v>
      </c>
      <c r="C15" s="567">
        <f>+balance!C16</f>
        <v>1075.1551999999999</v>
      </c>
      <c r="D15" s="567"/>
    </row>
    <row r="16" spans="1:5">
      <c r="A16" s="565"/>
      <c r="B16" s="565" t="str">
        <f>+balance!B17</f>
        <v>Muebles y Enseres</v>
      </c>
      <c r="C16" s="567">
        <f>+balance!C17</f>
        <v>901.6</v>
      </c>
      <c r="D16" s="567"/>
    </row>
    <row r="17" spans="1:7">
      <c r="A17" s="565"/>
      <c r="B17" s="565" t="str">
        <f>+balance!B18</f>
        <v>Edificio</v>
      </c>
      <c r="C17" s="567">
        <f>+balance!C18</f>
        <v>15886.159894982799</v>
      </c>
      <c r="D17" s="567"/>
    </row>
    <row r="18" spans="1:7">
      <c r="A18" s="565"/>
      <c r="B18" s="565" t="str">
        <f>+balance!B19</f>
        <v>Terrenos</v>
      </c>
      <c r="C18" s="567">
        <f>+balance!C19</f>
        <v>5000</v>
      </c>
      <c r="D18" s="567"/>
    </row>
    <row r="19" spans="1:7" ht="16.5" thickBot="1">
      <c r="A19" s="613"/>
      <c r="B19" s="683" t="s">
        <v>133</v>
      </c>
      <c r="C19" s="684"/>
      <c r="D19" s="587">
        <f>SUM(D8:D18)</f>
        <v>44135.371094982802</v>
      </c>
      <c r="F19" s="570"/>
    </row>
    <row r="20" spans="1:7" ht="16.5" thickBot="1">
      <c r="A20" s="614"/>
      <c r="B20" s="689" t="s">
        <v>705</v>
      </c>
      <c r="C20" s="690"/>
      <c r="D20" s="588">
        <f>SUM(D19:D19)</f>
        <v>44135.371094982802</v>
      </c>
    </row>
    <row r="21" spans="1:7" ht="6" customHeight="1" thickTop="1">
      <c r="A21" s="615"/>
      <c r="B21" s="615"/>
      <c r="C21" s="616"/>
      <c r="D21" s="574"/>
    </row>
    <row r="22" spans="1:7" ht="7.5" customHeight="1">
      <c r="A22" s="615"/>
      <c r="B22" s="615"/>
      <c r="C22" s="616"/>
      <c r="D22" s="574"/>
    </row>
    <row r="23" spans="1:7" ht="15.75">
      <c r="A23" s="582"/>
      <c r="B23" s="687" t="s">
        <v>700</v>
      </c>
      <c r="C23" s="559" t="s">
        <v>20</v>
      </c>
      <c r="D23" s="559" t="s">
        <v>1</v>
      </c>
    </row>
    <row r="24" spans="1:7" ht="15.75">
      <c r="A24" s="617" t="s">
        <v>184</v>
      </c>
      <c r="B24" s="688"/>
      <c r="C24" s="563"/>
      <c r="D24" s="563"/>
    </row>
    <row r="25" spans="1:7">
      <c r="A25" s="618"/>
      <c r="B25" s="611"/>
      <c r="C25" s="571"/>
      <c r="D25" s="576">
        <f>SUM(C26:C28)</f>
        <v>34660.171094982798</v>
      </c>
    </row>
    <row r="26" spans="1:7">
      <c r="A26" s="610">
        <v>2</v>
      </c>
      <c r="B26" s="619" t="str">
        <f>+balance!G6</f>
        <v>Préstamo Bancario Corto plazo</v>
      </c>
      <c r="C26" s="567">
        <f>+balance!H6</f>
        <v>15848.76</v>
      </c>
      <c r="D26" s="578"/>
      <c r="G26" s="570"/>
    </row>
    <row r="27" spans="1:7">
      <c r="A27" s="565"/>
      <c r="B27" s="619" t="str">
        <f>+balance!G7</f>
        <v>Ahorros Socios</v>
      </c>
      <c r="C27" s="567">
        <f>+balance!H7</f>
        <v>1180</v>
      </c>
      <c r="D27" s="578"/>
    </row>
    <row r="28" spans="1:7">
      <c r="A28" s="565"/>
      <c r="B28" s="620" t="str">
        <f>+balance!G14</f>
        <v>Préstamo Bancario L/p</v>
      </c>
      <c r="C28" s="567">
        <f>+balance!H14</f>
        <v>17631.411094982799</v>
      </c>
      <c r="D28" s="578"/>
    </row>
    <row r="29" spans="1:7" ht="15.75">
      <c r="A29" s="613"/>
      <c r="B29" s="689" t="s">
        <v>693</v>
      </c>
      <c r="C29" s="690"/>
      <c r="D29" s="581">
        <f>SUM(D25:D28)</f>
        <v>34660.171094982798</v>
      </c>
    </row>
    <row r="30" spans="1:7" ht="18" customHeight="1">
      <c r="A30" s="621"/>
      <c r="B30" s="615"/>
      <c r="C30" s="622"/>
      <c r="D30" s="579"/>
    </row>
    <row r="31" spans="1:7" ht="24" customHeight="1">
      <c r="A31" s="687" t="s">
        <v>184</v>
      </c>
      <c r="B31" s="687" t="s">
        <v>686</v>
      </c>
      <c r="C31" s="559" t="s">
        <v>20</v>
      </c>
      <c r="D31" s="559" t="s">
        <v>1</v>
      </c>
    </row>
    <row r="32" spans="1:7" ht="4.5" customHeight="1">
      <c r="A32" s="688"/>
      <c r="B32" s="688"/>
      <c r="C32" s="563"/>
      <c r="D32" s="563"/>
    </row>
    <row r="33" spans="1:6">
      <c r="A33" s="610" t="s">
        <v>694</v>
      </c>
      <c r="B33" s="565" t="s">
        <v>695</v>
      </c>
      <c r="C33" s="567"/>
      <c r="D33" s="567">
        <f>SUM(C34:C35)</f>
        <v>9475.2000000000007</v>
      </c>
    </row>
    <row r="34" spans="1:6">
      <c r="A34" s="612"/>
      <c r="B34" s="565" t="s">
        <v>696</v>
      </c>
      <c r="C34" s="567">
        <f>+balance!H18</f>
        <v>3540</v>
      </c>
      <c r="D34" s="567"/>
    </row>
    <row r="35" spans="1:6">
      <c r="A35" s="612"/>
      <c r="B35" s="565" t="s">
        <v>135</v>
      </c>
      <c r="C35" s="567">
        <f>+balance!H19</f>
        <v>5935.2</v>
      </c>
      <c r="D35" s="567"/>
    </row>
    <row r="36" spans="1:6" ht="15.75">
      <c r="A36" s="677" t="s">
        <v>697</v>
      </c>
      <c r="B36" s="678"/>
      <c r="C36" s="679"/>
      <c r="D36" s="581">
        <f>SUM(D33:D35)</f>
        <v>9475.2000000000007</v>
      </c>
    </row>
    <row r="37" spans="1:6" ht="15.75">
      <c r="A37" s="677" t="s">
        <v>707</v>
      </c>
      <c r="B37" s="678"/>
      <c r="C37" s="679"/>
      <c r="D37" s="581">
        <f>D36+D29</f>
        <v>44135.371094982795</v>
      </c>
    </row>
    <row r="38" spans="1:6" ht="16.5" thickBot="1">
      <c r="A38" s="676" t="s">
        <v>706</v>
      </c>
      <c r="B38" s="676"/>
      <c r="C38" s="676"/>
      <c r="D38" s="592">
        <f>D37</f>
        <v>44135.371094982795</v>
      </c>
      <c r="E38" s="570"/>
      <c r="F38" s="570"/>
    </row>
    <row r="39" spans="1:6" ht="15.75" thickTop="1"/>
    <row r="40" spans="1:6">
      <c r="B40" s="572"/>
      <c r="C40" s="573"/>
    </row>
    <row r="41" spans="1:6">
      <c r="B41" s="572"/>
      <c r="C41" s="573"/>
    </row>
    <row r="42" spans="1:6">
      <c r="B42" s="572"/>
      <c r="C42" s="573"/>
    </row>
  </sheetData>
  <mergeCells count="15">
    <mergeCell ref="A38:C38"/>
    <mergeCell ref="A37:C37"/>
    <mergeCell ref="A36:C36"/>
    <mergeCell ref="A1:E1"/>
    <mergeCell ref="A2:E2"/>
    <mergeCell ref="A4:E4"/>
    <mergeCell ref="A5:E5"/>
    <mergeCell ref="B19:C19"/>
    <mergeCell ref="B6:B7"/>
    <mergeCell ref="B23:B24"/>
    <mergeCell ref="A31:A32"/>
    <mergeCell ref="B31:B32"/>
    <mergeCell ref="B20:C20"/>
    <mergeCell ref="B29:C29"/>
    <mergeCell ref="A3:E3"/>
  </mergeCells>
  <pageMargins left="0.82677165354330717" right="0.31496062992125984" top="1.6929133858267718" bottom="1.0236220472440944" header="0.39370078740157483" footer="1.0629921259842521"/>
  <pageSetup orientation="portrait" horizontalDpi="300" verticalDpi="7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G34"/>
  <sheetViews>
    <sheetView zoomScale="90" zoomScaleNormal="90" workbookViewId="0">
      <selection sqref="A1:G4"/>
    </sheetView>
  </sheetViews>
  <sheetFormatPr baseColWidth="10" defaultRowHeight="15"/>
  <cols>
    <col min="1" max="1" width="10.140625" style="560" customWidth="1"/>
    <col min="2" max="2" width="27.42578125" style="560" customWidth="1"/>
    <col min="3" max="3" width="11.7109375" style="560" customWidth="1"/>
    <col min="4" max="4" width="14.42578125" style="560" customWidth="1"/>
    <col min="5" max="5" width="11.28515625" style="560" customWidth="1"/>
    <col min="6" max="7" width="11.42578125" style="560" customWidth="1"/>
    <col min="8" max="255" width="11.42578125" style="560"/>
    <col min="256" max="256" width="13.28515625" style="560" customWidth="1"/>
    <col min="257" max="257" width="40.7109375" style="560" customWidth="1"/>
    <col min="258" max="258" width="14" style="560" customWidth="1"/>
    <col min="259" max="259" width="12.7109375" style="560" bestFit="1" customWidth="1"/>
    <col min="260" max="511" width="11.42578125" style="560"/>
    <col min="512" max="512" width="13.28515625" style="560" customWidth="1"/>
    <col min="513" max="513" width="40.7109375" style="560" customWidth="1"/>
    <col min="514" max="514" width="14" style="560" customWidth="1"/>
    <col min="515" max="515" width="12.7109375" style="560" bestFit="1" customWidth="1"/>
    <col min="516" max="767" width="11.42578125" style="560"/>
    <col min="768" max="768" width="13.28515625" style="560" customWidth="1"/>
    <col min="769" max="769" width="40.7109375" style="560" customWidth="1"/>
    <col min="770" max="770" width="14" style="560" customWidth="1"/>
    <col min="771" max="771" width="12.7109375" style="560" bestFit="1" customWidth="1"/>
    <col min="772" max="1023" width="11.42578125" style="560"/>
    <col min="1024" max="1024" width="13.28515625" style="560" customWidth="1"/>
    <col min="1025" max="1025" width="40.7109375" style="560" customWidth="1"/>
    <col min="1026" max="1026" width="14" style="560" customWidth="1"/>
    <col min="1027" max="1027" width="12.7109375" style="560" bestFit="1" customWidth="1"/>
    <col min="1028" max="1279" width="11.42578125" style="560"/>
    <col min="1280" max="1280" width="13.28515625" style="560" customWidth="1"/>
    <col min="1281" max="1281" width="40.7109375" style="560" customWidth="1"/>
    <col min="1282" max="1282" width="14" style="560" customWidth="1"/>
    <col min="1283" max="1283" width="12.7109375" style="560" bestFit="1" customWidth="1"/>
    <col min="1284" max="1535" width="11.42578125" style="560"/>
    <col min="1536" max="1536" width="13.28515625" style="560" customWidth="1"/>
    <col min="1537" max="1537" width="40.7109375" style="560" customWidth="1"/>
    <col min="1538" max="1538" width="14" style="560" customWidth="1"/>
    <col min="1539" max="1539" width="12.7109375" style="560" bestFit="1" customWidth="1"/>
    <col min="1540" max="1791" width="11.42578125" style="560"/>
    <col min="1792" max="1792" width="13.28515625" style="560" customWidth="1"/>
    <col min="1793" max="1793" width="40.7109375" style="560" customWidth="1"/>
    <col min="1794" max="1794" width="14" style="560" customWidth="1"/>
    <col min="1795" max="1795" width="12.7109375" style="560" bestFit="1" customWidth="1"/>
    <col min="1796" max="2047" width="11.42578125" style="560"/>
    <col min="2048" max="2048" width="13.28515625" style="560" customWidth="1"/>
    <col min="2049" max="2049" width="40.7109375" style="560" customWidth="1"/>
    <col min="2050" max="2050" width="14" style="560" customWidth="1"/>
    <col min="2051" max="2051" width="12.7109375" style="560" bestFit="1" customWidth="1"/>
    <col min="2052" max="2303" width="11.42578125" style="560"/>
    <col min="2304" max="2304" width="13.28515625" style="560" customWidth="1"/>
    <col min="2305" max="2305" width="40.7109375" style="560" customWidth="1"/>
    <col min="2306" max="2306" width="14" style="560" customWidth="1"/>
    <col min="2307" max="2307" width="12.7109375" style="560" bestFit="1" customWidth="1"/>
    <col min="2308" max="2559" width="11.42578125" style="560"/>
    <col min="2560" max="2560" width="13.28515625" style="560" customWidth="1"/>
    <col min="2561" max="2561" width="40.7109375" style="560" customWidth="1"/>
    <col min="2562" max="2562" width="14" style="560" customWidth="1"/>
    <col min="2563" max="2563" width="12.7109375" style="560" bestFit="1" customWidth="1"/>
    <col min="2564" max="2815" width="11.42578125" style="560"/>
    <col min="2816" max="2816" width="13.28515625" style="560" customWidth="1"/>
    <col min="2817" max="2817" width="40.7109375" style="560" customWidth="1"/>
    <col min="2818" max="2818" width="14" style="560" customWidth="1"/>
    <col min="2819" max="2819" width="12.7109375" style="560" bestFit="1" customWidth="1"/>
    <col min="2820" max="3071" width="11.42578125" style="560"/>
    <col min="3072" max="3072" width="13.28515625" style="560" customWidth="1"/>
    <col min="3073" max="3073" width="40.7109375" style="560" customWidth="1"/>
    <col min="3074" max="3074" width="14" style="560" customWidth="1"/>
    <col min="3075" max="3075" width="12.7109375" style="560" bestFit="1" customWidth="1"/>
    <col min="3076" max="3327" width="11.42578125" style="560"/>
    <col min="3328" max="3328" width="13.28515625" style="560" customWidth="1"/>
    <col min="3329" max="3329" width="40.7109375" style="560" customWidth="1"/>
    <col min="3330" max="3330" width="14" style="560" customWidth="1"/>
    <col min="3331" max="3331" width="12.7109375" style="560" bestFit="1" customWidth="1"/>
    <col min="3332" max="3583" width="11.42578125" style="560"/>
    <col min="3584" max="3584" width="13.28515625" style="560" customWidth="1"/>
    <col min="3585" max="3585" width="40.7109375" style="560" customWidth="1"/>
    <col min="3586" max="3586" width="14" style="560" customWidth="1"/>
    <col min="3587" max="3587" width="12.7109375" style="560" bestFit="1" customWidth="1"/>
    <col min="3588" max="3839" width="11.42578125" style="560"/>
    <col min="3840" max="3840" width="13.28515625" style="560" customWidth="1"/>
    <col min="3841" max="3841" width="40.7109375" style="560" customWidth="1"/>
    <col min="3842" max="3842" width="14" style="560" customWidth="1"/>
    <col min="3843" max="3843" width="12.7109375" style="560" bestFit="1" customWidth="1"/>
    <col min="3844" max="4095" width="11.42578125" style="560"/>
    <col min="4096" max="4096" width="13.28515625" style="560" customWidth="1"/>
    <col min="4097" max="4097" width="40.7109375" style="560" customWidth="1"/>
    <col min="4098" max="4098" width="14" style="560" customWidth="1"/>
    <col min="4099" max="4099" width="12.7109375" style="560" bestFit="1" customWidth="1"/>
    <col min="4100" max="4351" width="11.42578125" style="560"/>
    <col min="4352" max="4352" width="13.28515625" style="560" customWidth="1"/>
    <col min="4353" max="4353" width="40.7109375" style="560" customWidth="1"/>
    <col min="4354" max="4354" width="14" style="560" customWidth="1"/>
    <col min="4355" max="4355" width="12.7109375" style="560" bestFit="1" customWidth="1"/>
    <col min="4356" max="4607" width="11.42578125" style="560"/>
    <col min="4608" max="4608" width="13.28515625" style="560" customWidth="1"/>
    <col min="4609" max="4609" width="40.7109375" style="560" customWidth="1"/>
    <col min="4610" max="4610" width="14" style="560" customWidth="1"/>
    <col min="4611" max="4611" width="12.7109375" style="560" bestFit="1" customWidth="1"/>
    <col min="4612" max="4863" width="11.42578125" style="560"/>
    <col min="4864" max="4864" width="13.28515625" style="560" customWidth="1"/>
    <col min="4865" max="4865" width="40.7109375" style="560" customWidth="1"/>
    <col min="4866" max="4866" width="14" style="560" customWidth="1"/>
    <col min="4867" max="4867" width="12.7109375" style="560" bestFit="1" customWidth="1"/>
    <col min="4868" max="5119" width="11.42578125" style="560"/>
    <col min="5120" max="5120" width="13.28515625" style="560" customWidth="1"/>
    <col min="5121" max="5121" width="40.7109375" style="560" customWidth="1"/>
    <col min="5122" max="5122" width="14" style="560" customWidth="1"/>
    <col min="5123" max="5123" width="12.7109375" style="560" bestFit="1" customWidth="1"/>
    <col min="5124" max="5375" width="11.42578125" style="560"/>
    <col min="5376" max="5376" width="13.28515625" style="560" customWidth="1"/>
    <col min="5377" max="5377" width="40.7109375" style="560" customWidth="1"/>
    <col min="5378" max="5378" width="14" style="560" customWidth="1"/>
    <col min="5379" max="5379" width="12.7109375" style="560" bestFit="1" customWidth="1"/>
    <col min="5380" max="5631" width="11.42578125" style="560"/>
    <col min="5632" max="5632" width="13.28515625" style="560" customWidth="1"/>
    <col min="5633" max="5633" width="40.7109375" style="560" customWidth="1"/>
    <col min="5634" max="5634" width="14" style="560" customWidth="1"/>
    <col min="5635" max="5635" width="12.7109375" style="560" bestFit="1" customWidth="1"/>
    <col min="5636" max="5887" width="11.42578125" style="560"/>
    <col min="5888" max="5888" width="13.28515625" style="560" customWidth="1"/>
    <col min="5889" max="5889" width="40.7109375" style="560" customWidth="1"/>
    <col min="5890" max="5890" width="14" style="560" customWidth="1"/>
    <col min="5891" max="5891" width="12.7109375" style="560" bestFit="1" customWidth="1"/>
    <col min="5892" max="6143" width="11.42578125" style="560"/>
    <col min="6144" max="6144" width="13.28515625" style="560" customWidth="1"/>
    <col min="6145" max="6145" width="40.7109375" style="560" customWidth="1"/>
    <col min="6146" max="6146" width="14" style="560" customWidth="1"/>
    <col min="6147" max="6147" width="12.7109375" style="560" bestFit="1" customWidth="1"/>
    <col min="6148" max="6399" width="11.42578125" style="560"/>
    <col min="6400" max="6400" width="13.28515625" style="560" customWidth="1"/>
    <col min="6401" max="6401" width="40.7109375" style="560" customWidth="1"/>
    <col min="6402" max="6402" width="14" style="560" customWidth="1"/>
    <col min="6403" max="6403" width="12.7109375" style="560" bestFit="1" customWidth="1"/>
    <col min="6404" max="6655" width="11.42578125" style="560"/>
    <col min="6656" max="6656" width="13.28515625" style="560" customWidth="1"/>
    <col min="6657" max="6657" width="40.7109375" style="560" customWidth="1"/>
    <col min="6658" max="6658" width="14" style="560" customWidth="1"/>
    <col min="6659" max="6659" width="12.7109375" style="560" bestFit="1" customWidth="1"/>
    <col min="6660" max="6911" width="11.42578125" style="560"/>
    <col min="6912" max="6912" width="13.28515625" style="560" customWidth="1"/>
    <col min="6913" max="6913" width="40.7109375" style="560" customWidth="1"/>
    <col min="6914" max="6914" width="14" style="560" customWidth="1"/>
    <col min="6915" max="6915" width="12.7109375" style="560" bestFit="1" customWidth="1"/>
    <col min="6916" max="7167" width="11.42578125" style="560"/>
    <col min="7168" max="7168" width="13.28515625" style="560" customWidth="1"/>
    <col min="7169" max="7169" width="40.7109375" style="560" customWidth="1"/>
    <col min="7170" max="7170" width="14" style="560" customWidth="1"/>
    <col min="7171" max="7171" width="12.7109375" style="560" bestFit="1" customWidth="1"/>
    <col min="7172" max="7423" width="11.42578125" style="560"/>
    <col min="7424" max="7424" width="13.28515625" style="560" customWidth="1"/>
    <col min="7425" max="7425" width="40.7109375" style="560" customWidth="1"/>
    <col min="7426" max="7426" width="14" style="560" customWidth="1"/>
    <col min="7427" max="7427" width="12.7109375" style="560" bestFit="1" customWidth="1"/>
    <col min="7428" max="7679" width="11.42578125" style="560"/>
    <col min="7680" max="7680" width="13.28515625" style="560" customWidth="1"/>
    <col min="7681" max="7681" width="40.7109375" style="560" customWidth="1"/>
    <col min="7682" max="7682" width="14" style="560" customWidth="1"/>
    <col min="7683" max="7683" width="12.7109375" style="560" bestFit="1" customWidth="1"/>
    <col min="7684" max="7935" width="11.42578125" style="560"/>
    <col min="7936" max="7936" width="13.28515625" style="560" customWidth="1"/>
    <col min="7937" max="7937" width="40.7109375" style="560" customWidth="1"/>
    <col min="7938" max="7938" width="14" style="560" customWidth="1"/>
    <col min="7939" max="7939" width="12.7109375" style="560" bestFit="1" customWidth="1"/>
    <col min="7940" max="8191" width="11.42578125" style="560"/>
    <col min="8192" max="8192" width="13.28515625" style="560" customWidth="1"/>
    <col min="8193" max="8193" width="40.7109375" style="560" customWidth="1"/>
    <col min="8194" max="8194" width="14" style="560" customWidth="1"/>
    <col min="8195" max="8195" width="12.7109375" style="560" bestFit="1" customWidth="1"/>
    <col min="8196" max="8447" width="11.42578125" style="560"/>
    <col min="8448" max="8448" width="13.28515625" style="560" customWidth="1"/>
    <col min="8449" max="8449" width="40.7109375" style="560" customWidth="1"/>
    <col min="8450" max="8450" width="14" style="560" customWidth="1"/>
    <col min="8451" max="8451" width="12.7109375" style="560" bestFit="1" customWidth="1"/>
    <col min="8452" max="8703" width="11.42578125" style="560"/>
    <col min="8704" max="8704" width="13.28515625" style="560" customWidth="1"/>
    <col min="8705" max="8705" width="40.7109375" style="560" customWidth="1"/>
    <col min="8706" max="8706" width="14" style="560" customWidth="1"/>
    <col min="8707" max="8707" width="12.7109375" style="560" bestFit="1" customWidth="1"/>
    <col min="8708" max="8959" width="11.42578125" style="560"/>
    <col min="8960" max="8960" width="13.28515625" style="560" customWidth="1"/>
    <col min="8961" max="8961" width="40.7109375" style="560" customWidth="1"/>
    <col min="8962" max="8962" width="14" style="560" customWidth="1"/>
    <col min="8963" max="8963" width="12.7109375" style="560" bestFit="1" customWidth="1"/>
    <col min="8964" max="9215" width="11.42578125" style="560"/>
    <col min="9216" max="9216" width="13.28515625" style="560" customWidth="1"/>
    <col min="9217" max="9217" width="40.7109375" style="560" customWidth="1"/>
    <col min="9218" max="9218" width="14" style="560" customWidth="1"/>
    <col min="9219" max="9219" width="12.7109375" style="560" bestFit="1" customWidth="1"/>
    <col min="9220" max="9471" width="11.42578125" style="560"/>
    <col min="9472" max="9472" width="13.28515625" style="560" customWidth="1"/>
    <col min="9473" max="9473" width="40.7109375" style="560" customWidth="1"/>
    <col min="9474" max="9474" width="14" style="560" customWidth="1"/>
    <col min="9475" max="9475" width="12.7109375" style="560" bestFit="1" customWidth="1"/>
    <col min="9476" max="9727" width="11.42578125" style="560"/>
    <col min="9728" max="9728" width="13.28515625" style="560" customWidth="1"/>
    <col min="9729" max="9729" width="40.7109375" style="560" customWidth="1"/>
    <col min="9730" max="9730" width="14" style="560" customWidth="1"/>
    <col min="9731" max="9731" width="12.7109375" style="560" bestFit="1" customWidth="1"/>
    <col min="9732" max="9983" width="11.42578125" style="560"/>
    <col min="9984" max="9984" width="13.28515625" style="560" customWidth="1"/>
    <col min="9985" max="9985" width="40.7109375" style="560" customWidth="1"/>
    <col min="9986" max="9986" width="14" style="560" customWidth="1"/>
    <col min="9987" max="9987" width="12.7109375" style="560" bestFit="1" customWidth="1"/>
    <col min="9988" max="10239" width="11.42578125" style="560"/>
    <col min="10240" max="10240" width="13.28515625" style="560" customWidth="1"/>
    <col min="10241" max="10241" width="40.7109375" style="560" customWidth="1"/>
    <col min="10242" max="10242" width="14" style="560" customWidth="1"/>
    <col min="10243" max="10243" width="12.7109375" style="560" bestFit="1" customWidth="1"/>
    <col min="10244" max="10495" width="11.42578125" style="560"/>
    <col min="10496" max="10496" width="13.28515625" style="560" customWidth="1"/>
    <col min="10497" max="10497" width="40.7109375" style="560" customWidth="1"/>
    <col min="10498" max="10498" width="14" style="560" customWidth="1"/>
    <col min="10499" max="10499" width="12.7109375" style="560" bestFit="1" customWidth="1"/>
    <col min="10500" max="10751" width="11.42578125" style="560"/>
    <col min="10752" max="10752" width="13.28515625" style="560" customWidth="1"/>
    <col min="10753" max="10753" width="40.7109375" style="560" customWidth="1"/>
    <col min="10754" max="10754" width="14" style="560" customWidth="1"/>
    <col min="10755" max="10755" width="12.7109375" style="560" bestFit="1" customWidth="1"/>
    <col min="10756" max="11007" width="11.42578125" style="560"/>
    <col min="11008" max="11008" width="13.28515625" style="560" customWidth="1"/>
    <col min="11009" max="11009" width="40.7109375" style="560" customWidth="1"/>
    <col min="11010" max="11010" width="14" style="560" customWidth="1"/>
    <col min="11011" max="11011" width="12.7109375" style="560" bestFit="1" customWidth="1"/>
    <col min="11012" max="11263" width="11.42578125" style="560"/>
    <col min="11264" max="11264" width="13.28515625" style="560" customWidth="1"/>
    <col min="11265" max="11265" width="40.7109375" style="560" customWidth="1"/>
    <col min="11266" max="11266" width="14" style="560" customWidth="1"/>
    <col min="11267" max="11267" width="12.7109375" style="560" bestFit="1" customWidth="1"/>
    <col min="11268" max="11519" width="11.42578125" style="560"/>
    <col min="11520" max="11520" width="13.28515625" style="560" customWidth="1"/>
    <col min="11521" max="11521" width="40.7109375" style="560" customWidth="1"/>
    <col min="11522" max="11522" width="14" style="560" customWidth="1"/>
    <col min="11523" max="11523" width="12.7109375" style="560" bestFit="1" customWidth="1"/>
    <col min="11524" max="11775" width="11.42578125" style="560"/>
    <col min="11776" max="11776" width="13.28515625" style="560" customWidth="1"/>
    <col min="11777" max="11777" width="40.7109375" style="560" customWidth="1"/>
    <col min="11778" max="11778" width="14" style="560" customWidth="1"/>
    <col min="11779" max="11779" width="12.7109375" style="560" bestFit="1" customWidth="1"/>
    <col min="11780" max="12031" width="11.42578125" style="560"/>
    <col min="12032" max="12032" width="13.28515625" style="560" customWidth="1"/>
    <col min="12033" max="12033" width="40.7109375" style="560" customWidth="1"/>
    <col min="12034" max="12034" width="14" style="560" customWidth="1"/>
    <col min="12035" max="12035" width="12.7109375" style="560" bestFit="1" customWidth="1"/>
    <col min="12036" max="12287" width="11.42578125" style="560"/>
    <col min="12288" max="12288" width="13.28515625" style="560" customWidth="1"/>
    <col min="12289" max="12289" width="40.7109375" style="560" customWidth="1"/>
    <col min="12290" max="12290" width="14" style="560" customWidth="1"/>
    <col min="12291" max="12291" width="12.7109375" style="560" bestFit="1" customWidth="1"/>
    <col min="12292" max="12543" width="11.42578125" style="560"/>
    <col min="12544" max="12544" width="13.28515625" style="560" customWidth="1"/>
    <col min="12545" max="12545" width="40.7109375" style="560" customWidth="1"/>
    <col min="12546" max="12546" width="14" style="560" customWidth="1"/>
    <col min="12547" max="12547" width="12.7109375" style="560" bestFit="1" customWidth="1"/>
    <col min="12548" max="12799" width="11.42578125" style="560"/>
    <col min="12800" max="12800" width="13.28515625" style="560" customWidth="1"/>
    <col min="12801" max="12801" width="40.7109375" style="560" customWidth="1"/>
    <col min="12802" max="12802" width="14" style="560" customWidth="1"/>
    <col min="12803" max="12803" width="12.7109375" style="560" bestFit="1" customWidth="1"/>
    <col min="12804" max="13055" width="11.42578125" style="560"/>
    <col min="13056" max="13056" width="13.28515625" style="560" customWidth="1"/>
    <col min="13057" max="13057" width="40.7109375" style="560" customWidth="1"/>
    <col min="13058" max="13058" width="14" style="560" customWidth="1"/>
    <col min="13059" max="13059" width="12.7109375" style="560" bestFit="1" customWidth="1"/>
    <col min="13060" max="13311" width="11.42578125" style="560"/>
    <col min="13312" max="13312" width="13.28515625" style="560" customWidth="1"/>
    <col min="13313" max="13313" width="40.7109375" style="560" customWidth="1"/>
    <col min="13314" max="13314" width="14" style="560" customWidth="1"/>
    <col min="13315" max="13315" width="12.7109375" style="560" bestFit="1" customWidth="1"/>
    <col min="13316" max="13567" width="11.42578125" style="560"/>
    <col min="13568" max="13568" width="13.28515625" style="560" customWidth="1"/>
    <col min="13569" max="13569" width="40.7109375" style="560" customWidth="1"/>
    <col min="13570" max="13570" width="14" style="560" customWidth="1"/>
    <col min="13571" max="13571" width="12.7109375" style="560" bestFit="1" customWidth="1"/>
    <col min="13572" max="13823" width="11.42578125" style="560"/>
    <col min="13824" max="13824" width="13.28515625" style="560" customWidth="1"/>
    <col min="13825" max="13825" width="40.7109375" style="560" customWidth="1"/>
    <col min="13826" max="13826" width="14" style="560" customWidth="1"/>
    <col min="13827" max="13827" width="12.7109375" style="560" bestFit="1" customWidth="1"/>
    <col min="13828" max="14079" width="11.42578125" style="560"/>
    <col min="14080" max="14080" width="13.28515625" style="560" customWidth="1"/>
    <col min="14081" max="14081" width="40.7109375" style="560" customWidth="1"/>
    <col min="14082" max="14082" width="14" style="560" customWidth="1"/>
    <col min="14083" max="14083" width="12.7109375" style="560" bestFit="1" customWidth="1"/>
    <col min="14084" max="14335" width="11.42578125" style="560"/>
    <col min="14336" max="14336" width="13.28515625" style="560" customWidth="1"/>
    <col min="14337" max="14337" width="40.7109375" style="560" customWidth="1"/>
    <col min="14338" max="14338" width="14" style="560" customWidth="1"/>
    <col min="14339" max="14339" width="12.7109375" style="560" bestFit="1" customWidth="1"/>
    <col min="14340" max="14591" width="11.42578125" style="560"/>
    <col min="14592" max="14592" width="13.28515625" style="560" customWidth="1"/>
    <col min="14593" max="14593" width="40.7109375" style="560" customWidth="1"/>
    <col min="14594" max="14594" width="14" style="560" customWidth="1"/>
    <col min="14595" max="14595" width="12.7109375" style="560" bestFit="1" customWidth="1"/>
    <col min="14596" max="14847" width="11.42578125" style="560"/>
    <col min="14848" max="14848" width="13.28515625" style="560" customWidth="1"/>
    <col min="14849" max="14849" width="40.7109375" style="560" customWidth="1"/>
    <col min="14850" max="14850" width="14" style="560" customWidth="1"/>
    <col min="14851" max="14851" width="12.7109375" style="560" bestFit="1" customWidth="1"/>
    <col min="14852" max="15103" width="11.42578125" style="560"/>
    <col min="15104" max="15104" width="13.28515625" style="560" customWidth="1"/>
    <col min="15105" max="15105" width="40.7109375" style="560" customWidth="1"/>
    <col min="15106" max="15106" width="14" style="560" customWidth="1"/>
    <col min="15107" max="15107" width="12.7109375" style="560" bestFit="1" customWidth="1"/>
    <col min="15108" max="15359" width="11.42578125" style="560"/>
    <col min="15360" max="15360" width="13.28515625" style="560" customWidth="1"/>
    <col min="15361" max="15361" width="40.7109375" style="560" customWidth="1"/>
    <col min="15362" max="15362" width="14" style="560" customWidth="1"/>
    <col min="15363" max="15363" width="12.7109375" style="560" bestFit="1" customWidth="1"/>
    <col min="15364" max="15615" width="11.42578125" style="560"/>
    <col min="15616" max="15616" width="13.28515625" style="560" customWidth="1"/>
    <col min="15617" max="15617" width="40.7109375" style="560" customWidth="1"/>
    <col min="15618" max="15618" width="14" style="560" customWidth="1"/>
    <col min="15619" max="15619" width="12.7109375" style="560" bestFit="1" customWidth="1"/>
    <col min="15620" max="15871" width="11.42578125" style="560"/>
    <col min="15872" max="15872" width="13.28515625" style="560" customWidth="1"/>
    <col min="15873" max="15873" width="40.7109375" style="560" customWidth="1"/>
    <col min="15874" max="15874" width="14" style="560" customWidth="1"/>
    <col min="15875" max="15875" width="12.7109375" style="560" bestFit="1" customWidth="1"/>
    <col min="15876" max="16127" width="11.42578125" style="560"/>
    <col min="16128" max="16128" width="13.28515625" style="560" customWidth="1"/>
    <col min="16129" max="16129" width="40.7109375" style="560" customWidth="1"/>
    <col min="16130" max="16130" width="14" style="560" customWidth="1"/>
    <col min="16131" max="16131" width="12.7109375" style="560" bestFit="1" customWidth="1"/>
    <col min="16132" max="16384" width="11.42578125" style="560"/>
  </cols>
  <sheetData>
    <row r="1" spans="1:7" ht="38.25" customHeight="1">
      <c r="A1" s="680" t="s">
        <v>745</v>
      </c>
      <c r="B1" s="680"/>
      <c r="C1" s="680"/>
      <c r="D1" s="680"/>
      <c r="E1" s="680"/>
      <c r="F1" s="680"/>
      <c r="G1" s="680"/>
    </row>
    <row r="2" spans="1:7" ht="15.75">
      <c r="A2" s="681" t="s">
        <v>746</v>
      </c>
      <c r="B2" s="681"/>
      <c r="C2" s="681"/>
      <c r="D2" s="681"/>
      <c r="E2" s="681"/>
      <c r="F2" s="681"/>
      <c r="G2" s="681"/>
    </row>
    <row r="3" spans="1:7" ht="15.75">
      <c r="A3" s="681" t="s">
        <v>747</v>
      </c>
      <c r="B3" s="681"/>
      <c r="C3" s="681"/>
      <c r="D3" s="681"/>
      <c r="E3" s="681"/>
      <c r="F3" s="681"/>
      <c r="G3" s="681"/>
    </row>
    <row r="4" spans="1:7" ht="15.75">
      <c r="A4" s="691" t="s">
        <v>704</v>
      </c>
      <c r="B4" s="691"/>
      <c r="C4" s="691"/>
      <c r="D4" s="691"/>
      <c r="E4" s="691"/>
      <c r="F4" s="691"/>
      <c r="G4" s="691"/>
    </row>
    <row r="5" spans="1:7" ht="15.75">
      <c r="A5" s="557" t="s">
        <v>184</v>
      </c>
      <c r="B5" s="685" t="s">
        <v>699</v>
      </c>
      <c r="C5" s="598" t="s">
        <v>37</v>
      </c>
      <c r="D5" s="598" t="s">
        <v>38</v>
      </c>
      <c r="E5" s="598" t="s">
        <v>39</v>
      </c>
      <c r="F5" s="598" t="s">
        <v>40</v>
      </c>
      <c r="G5" s="598" t="s">
        <v>41</v>
      </c>
    </row>
    <row r="6" spans="1:7" ht="11.25" customHeight="1">
      <c r="A6" s="561"/>
      <c r="B6" s="686"/>
      <c r="C6" s="562"/>
      <c r="D6" s="562"/>
      <c r="E6" s="562"/>
      <c r="F6" s="562"/>
      <c r="G6" s="562"/>
    </row>
    <row r="7" spans="1:7">
      <c r="A7" s="583" t="s">
        <v>698</v>
      </c>
      <c r="B7" s="585" t="s">
        <v>692</v>
      </c>
      <c r="C7" s="601"/>
      <c r="D7" s="601"/>
      <c r="E7" s="601"/>
      <c r="F7" s="601"/>
      <c r="G7" s="601"/>
    </row>
    <row r="8" spans="1:7">
      <c r="A8" s="566"/>
      <c r="B8" s="564" t="s">
        <v>701</v>
      </c>
      <c r="C8" s="605">
        <v>4639.1499999999996</v>
      </c>
      <c r="D8" s="605">
        <f>+C8*1.15</f>
        <v>5335.0224999999991</v>
      </c>
      <c r="E8" s="605">
        <f>+D8*1.2+519.36</f>
        <v>6921.3869999999988</v>
      </c>
      <c r="F8" s="605">
        <f>+E8*1.2-1200+785.34</f>
        <v>7891.004399999998</v>
      </c>
      <c r="G8" s="605">
        <f>+F8*1.2</f>
        <v>9469.2052799999965</v>
      </c>
    </row>
    <row r="9" spans="1:7" ht="14.25" customHeight="1">
      <c r="A9" s="566"/>
      <c r="B9" s="564" t="s">
        <v>702</v>
      </c>
      <c r="C9" s="605">
        <v>7120.35</v>
      </c>
      <c r="D9" s="605">
        <f>+C9*1.15</f>
        <v>8188.4025000000001</v>
      </c>
      <c r="E9" s="605">
        <f>+D9*1.2</f>
        <v>9826.0830000000005</v>
      </c>
      <c r="F9" s="605">
        <f t="shared" ref="F9" si="0">+E9*1.2</f>
        <v>11791.2996</v>
      </c>
      <c r="G9" s="605">
        <f>+F9*1.2+4496.64</f>
        <v>18646.199520000002</v>
      </c>
    </row>
    <row r="10" spans="1:7" ht="14.25" customHeight="1">
      <c r="A10" s="566"/>
      <c r="B10" s="564" t="s">
        <v>740</v>
      </c>
      <c r="C10" s="605">
        <f>'FLUJO TOTAL'!K20+'FLUJO TOTAL'!L20</f>
        <v>19429.262414515004</v>
      </c>
      <c r="D10" s="605">
        <f>+C10*1.15</f>
        <v>22343.651776692252</v>
      </c>
      <c r="E10" s="605">
        <f>+D10*1.2</f>
        <v>26812.3821320307</v>
      </c>
      <c r="F10" s="605">
        <f t="shared" ref="F10" si="1">+E10*1.2</f>
        <v>32174.858558436837</v>
      </c>
      <c r="G10" s="605">
        <f t="shared" ref="G10" si="2">+F10*1.2</f>
        <v>38609.830270124206</v>
      </c>
    </row>
    <row r="11" spans="1:7" ht="30">
      <c r="A11" s="569"/>
      <c r="B11" s="604" t="s">
        <v>681</v>
      </c>
      <c r="C11" s="605"/>
      <c r="D11" s="605"/>
      <c r="E11" s="605"/>
      <c r="F11" s="605"/>
      <c r="G11" s="605"/>
    </row>
    <row r="12" spans="1:7">
      <c r="A12" s="569"/>
      <c r="B12" s="564" t="str">
        <f>+balance!B14</f>
        <v>Equipo computación</v>
      </c>
      <c r="C12" s="605">
        <f>+balance!C14</f>
        <v>415.29599999999999</v>
      </c>
      <c r="D12" s="605">
        <f>+C12-depreciación!$F$7</f>
        <v>276.86599999999999</v>
      </c>
      <c r="E12" s="605">
        <f>+D12-depreciación!$F$7</f>
        <v>138.43599999999998</v>
      </c>
      <c r="F12" s="605">
        <f>+E12+1200</f>
        <v>1338.4359999999999</v>
      </c>
      <c r="G12" s="605">
        <f>+F12-depreciación!I7</f>
        <v>892.33528119999994</v>
      </c>
    </row>
    <row r="13" spans="1:7">
      <c r="A13" s="569"/>
      <c r="B13" s="564" t="str">
        <f>+balance!B15</f>
        <v>Equipos de Oficina</v>
      </c>
      <c r="C13" s="605">
        <f>+balance!C15</f>
        <v>288.39999999999998</v>
      </c>
      <c r="D13" s="605">
        <f>+C13-depreciación!$F$10</f>
        <v>259.56</v>
      </c>
      <c r="E13" s="605">
        <f>+D13-depreciación!$F$10</f>
        <v>230.72</v>
      </c>
      <c r="F13" s="605">
        <f>+E13-depreciación!$F$10</f>
        <v>201.88</v>
      </c>
      <c r="G13" s="605">
        <f>+F13-depreciación!$F$10</f>
        <v>173.04</v>
      </c>
    </row>
    <row r="14" spans="1:7">
      <c r="A14" s="569"/>
      <c r="B14" s="564" t="str">
        <f>+balance!B16</f>
        <v>Equipo y maquinaria</v>
      </c>
      <c r="C14" s="605">
        <f>+balance!C16</f>
        <v>1075.1551999999999</v>
      </c>
      <c r="D14" s="605">
        <f>+C14-depreciación!$F$9</f>
        <v>860.12415999999996</v>
      </c>
      <c r="E14" s="605">
        <f>+D14-depreciación!$F$9</f>
        <v>645.09312</v>
      </c>
      <c r="F14" s="605">
        <f>+E14-depreciación!$F$9</f>
        <v>430.06208000000004</v>
      </c>
      <c r="G14" s="605">
        <f>+F14-depreciación!$F$9</f>
        <v>215.03104000000005</v>
      </c>
    </row>
    <row r="15" spans="1:7">
      <c r="A15" s="569"/>
      <c r="B15" s="564" t="str">
        <f>+balance!B17</f>
        <v>Muebles y Enseres</v>
      </c>
      <c r="C15" s="605">
        <f>+balance!C17</f>
        <v>901.6</v>
      </c>
      <c r="D15" s="605">
        <f>+C15-depreciación!F8</f>
        <v>811.44</v>
      </c>
      <c r="E15" s="605">
        <f>+D15-depreciación!F8</f>
        <v>721.28000000000009</v>
      </c>
      <c r="F15" s="605">
        <f>+E15-depreciación!F8</f>
        <v>631.12000000000012</v>
      </c>
      <c r="G15" s="605">
        <f>+F15-depreciación!F8</f>
        <v>540.96000000000015</v>
      </c>
    </row>
    <row r="16" spans="1:7">
      <c r="A16" s="569"/>
      <c r="B16" s="564" t="str">
        <f>+balance!B18</f>
        <v>Edificio</v>
      </c>
      <c r="C16" s="605">
        <f>+balance!C18</f>
        <v>15886.159894982799</v>
      </c>
      <c r="D16" s="605">
        <f>+C16-depreciación!$F$6</f>
        <v>15091.851900233658</v>
      </c>
      <c r="E16" s="605">
        <f>+D16-depreciación!$F$6</f>
        <v>14297.543905484517</v>
      </c>
      <c r="F16" s="605">
        <f>+E16-depreciación!$F$6</f>
        <v>13503.235910735377</v>
      </c>
      <c r="G16" s="605">
        <f>+F16-depreciación!$F$6</f>
        <v>12708.927915986236</v>
      </c>
    </row>
    <row r="17" spans="1:7">
      <c r="A17" s="569"/>
      <c r="B17" s="564" t="str">
        <f>+balance!B19</f>
        <v>Terrenos</v>
      </c>
      <c r="C17" s="605">
        <f>+balance!C19</f>
        <v>5000</v>
      </c>
      <c r="D17" s="605">
        <v>5000</v>
      </c>
      <c r="E17" s="605">
        <v>5000</v>
      </c>
      <c r="F17" s="605">
        <v>5000</v>
      </c>
      <c r="G17" s="605">
        <v>5000</v>
      </c>
    </row>
    <row r="18" spans="1:7" ht="15.75">
      <c r="A18" s="589"/>
      <c r="B18" s="595" t="s">
        <v>133</v>
      </c>
      <c r="C18" s="606">
        <f>SUM(C7:C17)</f>
        <v>54755.373509497796</v>
      </c>
      <c r="D18" s="607">
        <f>SUM(D7:D17)</f>
        <v>58166.918836925906</v>
      </c>
      <c r="E18" s="607">
        <f>SUM(E7:E17)</f>
        <v>64592.925157515223</v>
      </c>
      <c r="F18" s="607">
        <f>SUM(F7:F17)</f>
        <v>72961.896549172205</v>
      </c>
      <c r="G18" s="607">
        <f>SUM(G7:G17)</f>
        <v>86255.52930731044</v>
      </c>
    </row>
    <row r="19" spans="1:7" ht="15.75">
      <c r="A19" s="589" t="s">
        <v>184</v>
      </c>
      <c r="B19" s="590" t="s">
        <v>700</v>
      </c>
      <c r="C19" s="695"/>
      <c r="D19" s="696"/>
      <c r="E19" s="696"/>
      <c r="F19" s="696"/>
      <c r="G19" s="697"/>
    </row>
    <row r="20" spans="1:7" ht="30">
      <c r="A20" s="584">
        <v>2</v>
      </c>
      <c r="B20" s="602" t="str">
        <f>+balance!G6</f>
        <v>Préstamo Bancario Corto plazo</v>
      </c>
      <c r="C20" s="605">
        <f>+balance!H6</f>
        <v>15848.76</v>
      </c>
      <c r="D20" s="605">
        <f>+C20*1.15</f>
        <v>18226.074000000001</v>
      </c>
      <c r="E20" s="605">
        <f t="shared" ref="E20:G21" si="3">+D20*1.2</f>
        <v>21871.288799999998</v>
      </c>
      <c r="F20" s="605">
        <f t="shared" si="3"/>
        <v>26245.546559999999</v>
      </c>
      <c r="G20" s="605">
        <f t="shared" si="3"/>
        <v>31494.655871999996</v>
      </c>
    </row>
    <row r="21" spans="1:7">
      <c r="A21" s="564"/>
      <c r="B21" s="602" t="str">
        <f>+balance!G7</f>
        <v>Ahorros Socios</v>
      </c>
      <c r="C21" s="605">
        <v>11800</v>
      </c>
      <c r="D21" s="605">
        <f>+C21*1.15</f>
        <v>13569.999999999998</v>
      </c>
      <c r="E21" s="605">
        <f t="shared" si="3"/>
        <v>16283.999999999996</v>
      </c>
      <c r="F21" s="605">
        <f t="shared" si="3"/>
        <v>19540.799999999996</v>
      </c>
      <c r="G21" s="605">
        <f t="shared" si="3"/>
        <v>23448.959999999995</v>
      </c>
    </row>
    <row r="22" spans="1:7">
      <c r="A22" s="564"/>
      <c r="B22" s="603" t="str">
        <f>+balance!G14</f>
        <v>Préstamo Bancario L/p</v>
      </c>
      <c r="C22" s="605">
        <f>+balance!H14</f>
        <v>17631.411094982799</v>
      </c>
      <c r="D22" s="605">
        <f>+C22-AMORT.!$I$5-AMORT.!I5</f>
        <v>10578.846656989681</v>
      </c>
      <c r="E22" s="605">
        <f>+D22-AMORT.!$I$5</f>
        <v>7052.5644379931209</v>
      </c>
      <c r="F22" s="605">
        <f>+E22-AMORT.!$I$5</f>
        <v>3526.2822189965609</v>
      </c>
      <c r="G22" s="605">
        <f>+F22-AMORT.!$I$5</f>
        <v>0</v>
      </c>
    </row>
    <row r="23" spans="1:7" ht="15.75">
      <c r="A23" s="589"/>
      <c r="B23" s="596" t="s">
        <v>693</v>
      </c>
      <c r="C23" s="606">
        <f>SUM(C20:C22)</f>
        <v>45280.171094982798</v>
      </c>
      <c r="D23" s="607">
        <f>SUM(D20:D22)</f>
        <v>42374.920656989678</v>
      </c>
      <c r="E23" s="607">
        <f>SUM(E20:E22)</f>
        <v>45207.853237993113</v>
      </c>
      <c r="F23" s="607">
        <f>SUM(F20:F22)</f>
        <v>49312.62877899655</v>
      </c>
      <c r="G23" s="607">
        <f>SUM(G20:G22)</f>
        <v>54943.615871999995</v>
      </c>
    </row>
    <row r="24" spans="1:7" ht="24" customHeight="1">
      <c r="A24" s="586" t="s">
        <v>184</v>
      </c>
      <c r="B24" s="590" t="s">
        <v>686</v>
      </c>
      <c r="C24" s="692"/>
      <c r="D24" s="693"/>
      <c r="E24" s="693"/>
      <c r="F24" s="693"/>
      <c r="G24" s="694"/>
    </row>
    <row r="25" spans="1:7">
      <c r="A25" s="591" t="s">
        <v>694</v>
      </c>
      <c r="B25" s="575" t="s">
        <v>695</v>
      </c>
      <c r="C25" s="608"/>
      <c r="D25" s="609"/>
      <c r="E25" s="605"/>
      <c r="F25" s="605"/>
      <c r="G25" s="605"/>
    </row>
    <row r="26" spans="1:7">
      <c r="A26" s="577"/>
      <c r="B26" s="564" t="s">
        <v>696</v>
      </c>
      <c r="C26" s="605">
        <f>+balance!H18</f>
        <v>3540</v>
      </c>
      <c r="D26" s="609">
        <f>+C26*1.15</f>
        <v>4070.9999999999995</v>
      </c>
      <c r="E26" s="605">
        <f>+D26*1.2</f>
        <v>4885.1999999999989</v>
      </c>
      <c r="F26" s="605">
        <f t="shared" ref="F26:G26" si="4">+E26*1.2</f>
        <v>5862.2399999999989</v>
      </c>
      <c r="G26" s="605">
        <f t="shared" si="4"/>
        <v>7034.6879999999983</v>
      </c>
    </row>
    <row r="27" spans="1:7">
      <c r="A27" s="577"/>
      <c r="B27" s="564" t="s">
        <v>135</v>
      </c>
      <c r="C27" s="605">
        <f>+balance!H19</f>
        <v>5935.2</v>
      </c>
      <c r="D27" s="609">
        <f>+C27*1.15+2116.94</f>
        <v>8942.42</v>
      </c>
      <c r="E27" s="605">
        <f>+D27*1.2</f>
        <v>10730.904</v>
      </c>
      <c r="F27" s="605">
        <f>+E27*1.2-8.34</f>
        <v>12868.7448</v>
      </c>
      <c r="G27" s="605">
        <f>+F27*1.009</f>
        <v>12984.563503199999</v>
      </c>
    </row>
    <row r="28" spans="1:7">
      <c r="A28" s="577"/>
      <c r="B28" s="580" t="s">
        <v>708</v>
      </c>
      <c r="C28" s="605">
        <f>+'EERR VAN Y TIR'!C25</f>
        <v>1126.2307863834151</v>
      </c>
      <c r="D28" s="609">
        <f>+'EERR VAN Y TIR'!D25</f>
        <v>2778.5801969650315</v>
      </c>
      <c r="E28" s="609">
        <f>+'EERR VAN Y TIR'!E25</f>
        <v>3768.9656580080418</v>
      </c>
      <c r="F28" s="609">
        <f>+'EERR VAN Y TIR'!F25</f>
        <v>4918.285480587132</v>
      </c>
      <c r="G28" s="609">
        <f>+'EERR VAN Y TIR'!G25</f>
        <v>11292.661982673053</v>
      </c>
    </row>
    <row r="29" spans="1:7">
      <c r="A29" s="596" t="s">
        <v>697</v>
      </c>
      <c r="B29" s="597"/>
      <c r="C29" s="606">
        <f>SUM(C26:C27)</f>
        <v>9475.2000000000007</v>
      </c>
      <c r="D29" s="607">
        <f>SUM(D26:D28)</f>
        <v>15792.000196965031</v>
      </c>
      <c r="E29" s="607">
        <f>SUM(E26:E28)</f>
        <v>19385.06965800804</v>
      </c>
      <c r="F29" s="607">
        <f>SUM(F26:F28)</f>
        <v>23649.27028058713</v>
      </c>
      <c r="G29" s="607">
        <f>SUM(G26:G28)</f>
        <v>31311.91348587305</v>
      </c>
    </row>
    <row r="30" spans="1:7">
      <c r="A30" s="596" t="s">
        <v>707</v>
      </c>
      <c r="B30" s="597"/>
      <c r="C30" s="606">
        <f>+C23+C29</f>
        <v>54755.371094982795</v>
      </c>
      <c r="D30" s="607">
        <f>+D23+D29</f>
        <v>58166.920853954711</v>
      </c>
      <c r="E30" s="607">
        <f>+E23+E29</f>
        <v>64592.922896001153</v>
      </c>
      <c r="F30" s="607">
        <f>+F23+F29</f>
        <v>72961.89905958368</v>
      </c>
      <c r="G30" s="607">
        <f>+G23+G29</f>
        <v>86255.529357873049</v>
      </c>
    </row>
    <row r="31" spans="1:7">
      <c r="C31" s="600"/>
      <c r="D31" s="600"/>
      <c r="E31" s="600"/>
      <c r="F31" s="600"/>
      <c r="G31" s="600"/>
    </row>
    <row r="32" spans="1:7">
      <c r="B32" s="572"/>
      <c r="C32" s="573"/>
    </row>
    <row r="33" spans="2:3">
      <c r="B33" s="572"/>
      <c r="C33" s="573"/>
    </row>
    <row r="34" spans="2:3">
      <c r="B34" s="572"/>
      <c r="C34" s="573"/>
    </row>
  </sheetData>
  <mergeCells count="7">
    <mergeCell ref="A1:G1"/>
    <mergeCell ref="A2:G2"/>
    <mergeCell ref="A3:G3"/>
    <mergeCell ref="A4:G4"/>
    <mergeCell ref="C24:G24"/>
    <mergeCell ref="C19:G19"/>
    <mergeCell ref="B5:B6"/>
  </mergeCells>
  <pageMargins left="0.82677165354330717" right="0.31496062992125984" top="1.6929133858267718" bottom="1.0236220472440944" header="0.39370078740157483" footer="1.0629921259842521"/>
  <pageSetup orientation="portrait" horizontalDpi="300" verticalDpi="72" r:id="rId1"/>
  <headerFooter alignWithMargins="0"/>
  <ignoredErrors>
    <ignoredError sqref="G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theme="7" tint="0.39997558519241921"/>
  </sheetPr>
  <dimension ref="B1:L13"/>
  <sheetViews>
    <sheetView topLeftCell="B1" workbookViewId="0">
      <selection activeCell="F22" sqref="F22"/>
    </sheetView>
  </sheetViews>
  <sheetFormatPr baseColWidth="10" defaultRowHeight="12.75"/>
  <cols>
    <col min="6" max="6" width="17.140625" bestFit="1" customWidth="1"/>
    <col min="12" max="12" width="17.140625" bestFit="1" customWidth="1"/>
  </cols>
  <sheetData>
    <row r="1" spans="2:12">
      <c r="D1" s="28" t="s">
        <v>458</v>
      </c>
      <c r="E1" s="317">
        <f>11.2%/2</f>
        <v>5.5999999999999994E-2</v>
      </c>
      <c r="I1" s="28" t="s">
        <v>458</v>
      </c>
      <c r="J1" s="254">
        <v>0.112</v>
      </c>
    </row>
    <row r="2" spans="2:12" ht="13.5" thickBot="1"/>
    <row r="3" spans="2:12">
      <c r="B3" s="143" t="s">
        <v>455</v>
      </c>
      <c r="C3" s="143" t="s">
        <v>456</v>
      </c>
      <c r="D3" s="143" t="s">
        <v>129</v>
      </c>
      <c r="E3" s="143" t="s">
        <v>128</v>
      </c>
      <c r="F3" s="143" t="s">
        <v>457</v>
      </c>
      <c r="H3" s="141" t="s">
        <v>455</v>
      </c>
      <c r="I3" s="142" t="s">
        <v>456</v>
      </c>
      <c r="J3" s="142" t="s">
        <v>129</v>
      </c>
      <c r="K3" s="142" t="s">
        <v>128</v>
      </c>
      <c r="L3" s="267" t="s">
        <v>457</v>
      </c>
    </row>
    <row r="4" spans="2:12">
      <c r="B4" s="1">
        <v>0</v>
      </c>
      <c r="C4" s="1"/>
      <c r="D4" s="1"/>
      <c r="E4" s="1"/>
      <c r="F4" s="2">
        <f>+'FLUJO TOTAL'!F6</f>
        <v>15848.76</v>
      </c>
      <c r="H4" s="20">
        <v>0</v>
      </c>
      <c r="I4" s="1"/>
      <c r="J4" s="1"/>
      <c r="K4" s="1"/>
      <c r="L4" s="36">
        <f>+'COSTO CAPITAL'!E5</f>
        <v>17631.411094982799</v>
      </c>
    </row>
    <row r="5" spans="2:12">
      <c r="B5" s="1">
        <v>1</v>
      </c>
      <c r="C5" s="2">
        <f>+F4</f>
        <v>15848.76</v>
      </c>
      <c r="D5" s="2">
        <f>+C5*E1</f>
        <v>887.53055999999992</v>
      </c>
      <c r="E5" s="2">
        <f>+C5+D5</f>
        <v>16736.290560000001</v>
      </c>
      <c r="F5" s="1">
        <v>0</v>
      </c>
      <c r="H5" s="20">
        <v>1</v>
      </c>
      <c r="I5" s="2">
        <f>+$L$4/5</f>
        <v>3526.28221899656</v>
      </c>
      <c r="J5" s="2">
        <f>+L4*J1</f>
        <v>1974.7180426380735</v>
      </c>
      <c r="K5" s="2">
        <f>+I5+J5</f>
        <v>5501.0002616346337</v>
      </c>
      <c r="L5" s="36">
        <f>+L4-I5</f>
        <v>14105.12887598624</v>
      </c>
    </row>
    <row r="6" spans="2:12">
      <c r="D6">
        <f>+D5/12</f>
        <v>73.960879999999989</v>
      </c>
      <c r="H6" s="20">
        <v>2</v>
      </c>
      <c r="I6" s="2">
        <f t="shared" ref="I6:I9" si="0">+$L$4/5</f>
        <v>3526.28221899656</v>
      </c>
      <c r="J6" s="2">
        <f>+L5*$J$1</f>
        <v>1579.774434110459</v>
      </c>
      <c r="K6" s="2">
        <f t="shared" ref="K6:K9" si="1">+I6+J6</f>
        <v>5106.056653107019</v>
      </c>
      <c r="L6" s="36">
        <f t="shared" ref="L6:L9" si="2">+L5-I6</f>
        <v>10578.846656989681</v>
      </c>
    </row>
    <row r="7" spans="2:12">
      <c r="D7" s="37">
        <f>118+D5</f>
        <v>1005.5305599999999</v>
      </c>
      <c r="F7" s="37">
        <f>+E5-F4</f>
        <v>887.53056000000106</v>
      </c>
      <c r="H7" s="20">
        <v>3</v>
      </c>
      <c r="I7" s="2">
        <f t="shared" si="0"/>
        <v>3526.28221899656</v>
      </c>
      <c r="J7" s="2">
        <f t="shared" ref="J7:J9" si="3">+L6*$J$1</f>
        <v>1184.8308255828442</v>
      </c>
      <c r="K7" s="2">
        <f t="shared" si="1"/>
        <v>4711.1130445794042</v>
      </c>
      <c r="L7" s="36">
        <f t="shared" si="2"/>
        <v>7052.5644379931209</v>
      </c>
    </row>
    <row r="8" spans="2:12">
      <c r="H8" s="20">
        <v>4</v>
      </c>
      <c r="I8" s="2">
        <f t="shared" si="0"/>
        <v>3526.28221899656</v>
      </c>
      <c r="J8" s="2">
        <f t="shared" si="3"/>
        <v>789.8872170552296</v>
      </c>
      <c r="K8" s="2">
        <f t="shared" si="1"/>
        <v>4316.1694360517895</v>
      </c>
      <c r="L8" s="36">
        <f t="shared" si="2"/>
        <v>3526.2822189965609</v>
      </c>
    </row>
    <row r="9" spans="2:12">
      <c r="H9" s="20">
        <v>5</v>
      </c>
      <c r="I9" s="2">
        <f t="shared" si="0"/>
        <v>3526.28221899656</v>
      </c>
      <c r="J9" s="2">
        <f t="shared" si="3"/>
        <v>394.94360852761486</v>
      </c>
      <c r="K9" s="2">
        <f t="shared" si="1"/>
        <v>3921.2258275241747</v>
      </c>
      <c r="L9" s="36">
        <f t="shared" si="2"/>
        <v>0</v>
      </c>
    </row>
    <row r="10" spans="2:12">
      <c r="H10" s="6" t="s">
        <v>1</v>
      </c>
      <c r="I10" s="2">
        <f>SUM(I5:I9)</f>
        <v>17631.411094982799</v>
      </c>
      <c r="J10" s="2">
        <f t="shared" ref="J10:K10" si="4">SUM(J5:J9)</f>
        <v>5924.1541279142211</v>
      </c>
      <c r="K10" s="2">
        <f t="shared" si="4"/>
        <v>23555.565222897021</v>
      </c>
      <c r="L10" s="36"/>
    </row>
    <row r="11" spans="2:12" ht="13.5" thickBot="1">
      <c r="B11" s="143" t="s">
        <v>455</v>
      </c>
      <c r="C11" s="143" t="s">
        <v>456</v>
      </c>
      <c r="D11" s="143" t="s">
        <v>129</v>
      </c>
      <c r="E11" s="143" t="s">
        <v>128</v>
      </c>
      <c r="F11" s="143" t="s">
        <v>457</v>
      </c>
      <c r="H11" s="8" t="s">
        <v>459</v>
      </c>
      <c r="I11" s="150"/>
      <c r="J11" s="150">
        <f>+J10/5</f>
        <v>1184.8308255828442</v>
      </c>
      <c r="K11" s="150">
        <f>+K10/5</f>
        <v>4711.1130445794042</v>
      </c>
      <c r="L11" s="337"/>
    </row>
    <row r="12" spans="2:12">
      <c r="B12" s="1">
        <v>0</v>
      </c>
      <c r="C12" s="1"/>
      <c r="D12" s="1"/>
      <c r="E12" s="1"/>
      <c r="F12" s="2">
        <f>-'flujo proyectado  centro 5 años'!D81</f>
        <v>31166.691013709249</v>
      </c>
    </row>
    <row r="13" spans="2:12">
      <c r="B13" s="1">
        <v>1</v>
      </c>
      <c r="C13" s="2">
        <f>+F12</f>
        <v>31166.691013709249</v>
      </c>
      <c r="D13" s="2">
        <f>+C13*E1</f>
        <v>1745.3346967677178</v>
      </c>
      <c r="E13" s="2">
        <f>+C13+D13</f>
        <v>32912.02571047697</v>
      </c>
      <c r="F13" s="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4">
    <tabColor theme="9" tint="0.39997558519241921"/>
  </sheetPr>
  <dimension ref="B1:O163"/>
  <sheetViews>
    <sheetView topLeftCell="A4" workbookViewId="0">
      <selection activeCell="A27" sqref="A27:XFD35"/>
    </sheetView>
  </sheetViews>
  <sheetFormatPr baseColWidth="10" defaultRowHeight="12.75"/>
  <cols>
    <col min="1" max="1" width="1" customWidth="1"/>
    <col min="2" max="2" width="55.85546875" customWidth="1"/>
    <col min="3" max="3" width="12.28515625" bestFit="1" customWidth="1"/>
    <col min="5" max="5" width="12.28515625" bestFit="1" customWidth="1"/>
  </cols>
  <sheetData>
    <row r="1" spans="2:15" ht="13.5" thickBot="1"/>
    <row r="2" spans="2:15" ht="14.25" thickTop="1" thickBot="1">
      <c r="B2" s="288" t="s">
        <v>136</v>
      </c>
      <c r="C2" s="287" t="s">
        <v>48</v>
      </c>
      <c r="D2" s="339" t="s">
        <v>49</v>
      </c>
      <c r="E2" s="287" t="s">
        <v>50</v>
      </c>
      <c r="F2" s="339" t="s">
        <v>51</v>
      </c>
      <c r="G2" s="287" t="s">
        <v>52</v>
      </c>
      <c r="H2" s="280"/>
      <c r="I2" s="280"/>
      <c r="J2" s="280"/>
      <c r="K2" s="280"/>
      <c r="L2" s="280"/>
      <c r="N2" s="273"/>
      <c r="O2" s="273"/>
    </row>
    <row r="3" spans="2:15" ht="14.25" thickTop="1" thickBot="1">
      <c r="B3" s="288" t="s">
        <v>488</v>
      </c>
      <c r="C3" s="623">
        <f>+C4+C5</f>
        <v>2602.5826500529201</v>
      </c>
      <c r="D3" s="623">
        <f>+D4+D5</f>
        <v>2992.9700475608579</v>
      </c>
      <c r="E3" s="623">
        <f t="shared" ref="E3:G3" si="0">+E4+E5</f>
        <v>3591.5640570730293</v>
      </c>
      <c r="F3" s="623">
        <f t="shared" si="0"/>
        <v>4309.876868487635</v>
      </c>
      <c r="G3" s="623">
        <f t="shared" si="0"/>
        <v>5171.8522421851621</v>
      </c>
      <c r="H3" s="91"/>
      <c r="I3" s="91"/>
      <c r="J3" s="91"/>
      <c r="K3" s="91"/>
      <c r="L3" s="91"/>
      <c r="N3" s="272"/>
      <c r="O3" s="272"/>
    </row>
    <row r="4" spans="2:15" ht="14.25" thickTop="1" thickBot="1">
      <c r="B4" s="286" t="s">
        <v>466</v>
      </c>
      <c r="C4" s="624">
        <f>+'FLUJO FONDO COOP'!O18</f>
        <v>2602.5826500529201</v>
      </c>
      <c r="D4" s="625">
        <f>+C4*1.15</f>
        <v>2992.9700475608579</v>
      </c>
      <c r="E4" s="625">
        <f>+D4*1.2</f>
        <v>3591.5640570730293</v>
      </c>
      <c r="F4" s="625">
        <f t="shared" ref="F4:G4" si="1">+E4*1.2</f>
        <v>4309.876868487635</v>
      </c>
      <c r="G4" s="625">
        <f t="shared" si="1"/>
        <v>5171.8522421851621</v>
      </c>
      <c r="H4" s="281"/>
      <c r="I4" s="281"/>
      <c r="J4" s="281"/>
      <c r="K4" s="281"/>
      <c r="L4" s="281"/>
      <c r="N4" s="272"/>
      <c r="O4" s="272"/>
    </row>
    <row r="5" spans="2:15" ht="14.25" thickTop="1" thickBot="1">
      <c r="B5" s="286" t="s">
        <v>467</v>
      </c>
      <c r="C5" s="624">
        <v>0</v>
      </c>
      <c r="D5" s="625">
        <v>0</v>
      </c>
      <c r="E5" s="625">
        <v>0</v>
      </c>
      <c r="F5" s="625">
        <v>0</v>
      </c>
      <c r="G5" s="625">
        <v>0</v>
      </c>
      <c r="H5" s="283"/>
      <c r="I5" s="283"/>
      <c r="J5" s="283"/>
      <c r="K5" s="283"/>
      <c r="L5" s="283"/>
      <c r="N5" s="274"/>
      <c r="O5" s="274"/>
    </row>
    <row r="6" spans="2:15" ht="14.25" thickTop="1" thickBot="1">
      <c r="B6" s="288" t="s">
        <v>489</v>
      </c>
      <c r="C6" s="623">
        <f>+C7+C8</f>
        <v>1005.5305599999999</v>
      </c>
      <c r="D6" s="625">
        <f>+D7+D8</f>
        <v>1156.3601439999998</v>
      </c>
      <c r="E6" s="625">
        <f t="shared" ref="E6:G6" si="2">+E7+E8</f>
        <v>1329.8141655999996</v>
      </c>
      <c r="F6" s="625">
        <f t="shared" si="2"/>
        <v>1529.2862904399994</v>
      </c>
      <c r="G6" s="625">
        <f t="shared" si="2"/>
        <v>1758.6792340059992</v>
      </c>
      <c r="H6" s="91"/>
      <c r="I6" s="91"/>
      <c r="J6" s="91"/>
      <c r="K6" s="91"/>
      <c r="L6" s="91"/>
      <c r="N6" s="274"/>
      <c r="O6" s="274"/>
    </row>
    <row r="7" spans="2:15" ht="14.25" thickTop="1" thickBot="1">
      <c r="B7" s="286" t="s">
        <v>461</v>
      </c>
      <c r="C7" s="624">
        <f>+'FLUJO FONDO COOP'!O28+'FLUJO FONDO COOP'!O29+AMORT.!D5</f>
        <v>1005.5305599999999</v>
      </c>
      <c r="D7" s="625">
        <f>+C7*1.15</f>
        <v>1156.3601439999998</v>
      </c>
      <c r="E7" s="625">
        <f t="shared" ref="E7:G7" si="3">+D7*1.15</f>
        <v>1329.8141655999996</v>
      </c>
      <c r="F7" s="625">
        <f t="shared" si="3"/>
        <v>1529.2862904399994</v>
      </c>
      <c r="G7" s="625">
        <f t="shared" si="3"/>
        <v>1758.6792340059992</v>
      </c>
      <c r="H7" s="282"/>
      <c r="I7" s="282"/>
      <c r="J7" s="282"/>
      <c r="K7" s="282"/>
      <c r="L7" s="282"/>
      <c r="N7" s="274"/>
      <c r="O7" s="274"/>
    </row>
    <row r="8" spans="2:15" ht="14.25" thickTop="1" thickBot="1">
      <c r="B8" s="286" t="s">
        <v>462</v>
      </c>
      <c r="C8" s="624"/>
      <c r="D8" s="626"/>
      <c r="E8" s="626"/>
      <c r="F8" s="626"/>
      <c r="G8" s="626"/>
      <c r="H8" s="284"/>
      <c r="I8" s="284"/>
      <c r="J8" s="284"/>
      <c r="K8" s="284"/>
      <c r="L8" s="284"/>
      <c r="N8" s="274"/>
      <c r="O8" s="274"/>
    </row>
    <row r="9" spans="2:15" ht="14.25" thickTop="1" thickBot="1">
      <c r="B9" s="288" t="s">
        <v>490</v>
      </c>
      <c r="C9" s="623">
        <f>+C3-C6</f>
        <v>1597.0520900529202</v>
      </c>
      <c r="D9" s="623">
        <f>+D4-D6</f>
        <v>1836.6099035608581</v>
      </c>
      <c r="E9" s="623">
        <f>+E4-E6</f>
        <v>2261.7498914730295</v>
      </c>
      <c r="F9" s="623">
        <f>+F4-F6</f>
        <v>2780.5905780476355</v>
      </c>
      <c r="G9" s="623">
        <f>+G4-G6</f>
        <v>3413.1730081791629</v>
      </c>
      <c r="H9" s="282"/>
      <c r="I9" s="282"/>
      <c r="J9" s="282"/>
      <c r="K9" s="282"/>
      <c r="L9" s="282"/>
      <c r="N9" s="274"/>
      <c r="O9" s="274"/>
    </row>
    <row r="10" spans="2:15" ht="14.25" thickTop="1" thickBot="1">
      <c r="B10" s="288" t="s">
        <v>491</v>
      </c>
      <c r="C10" s="623">
        <f>+C11-C12</f>
        <v>6522.5046328000017</v>
      </c>
      <c r="D10" s="623">
        <f t="shared" ref="D10:G10" si="4">+D11-D12</f>
        <v>5833.1311096236032</v>
      </c>
      <c r="E10" s="623">
        <f t="shared" si="4"/>
        <v>6121.8710995499705</v>
      </c>
      <c r="F10" s="623">
        <f t="shared" si="4"/>
        <v>6424.90371897769</v>
      </c>
      <c r="G10" s="623">
        <f t="shared" si="4"/>
        <v>14262.169402390611</v>
      </c>
      <c r="H10" s="282"/>
      <c r="I10" s="282"/>
      <c r="J10" s="282"/>
      <c r="K10" s="282"/>
      <c r="L10" s="282"/>
      <c r="N10" s="274"/>
      <c r="O10" s="274"/>
    </row>
    <row r="11" spans="2:15" ht="14.25" thickTop="1" thickBot="1">
      <c r="B11" s="286" t="s">
        <v>492</v>
      </c>
      <c r="C11" s="624">
        <f>+'flujo proyectado  centro 5 años'!C31</f>
        <v>11344.979632800001</v>
      </c>
      <c r="D11" s="624">
        <f>+'flujo proyectado  centro 5 años'!D64</f>
        <v>11906.556124623603</v>
      </c>
      <c r="E11" s="624">
        <f>+'flujo proyectado  centro 5 años'!E64</f>
        <v>12495.930652792471</v>
      </c>
      <c r="F11" s="624">
        <f>+'flujo proyectado  centro 5 años'!F64</f>
        <v>13114.479220105695</v>
      </c>
      <c r="G11" s="624">
        <f>+'flujo proyectado  centro 5 años'!G64</f>
        <v>21282.878890824453</v>
      </c>
      <c r="H11" s="284"/>
      <c r="I11" s="284"/>
      <c r="J11" s="284"/>
      <c r="K11" s="284"/>
      <c r="L11" s="284"/>
      <c r="N11" s="274"/>
      <c r="O11" s="274"/>
    </row>
    <row r="12" spans="2:15" ht="14.25" thickTop="1" thickBot="1">
      <c r="B12" s="286" t="s">
        <v>493</v>
      </c>
      <c r="C12" s="624">
        <f>+'FLUJO FONDO COOP'!S21*10</f>
        <v>4822.4749999999995</v>
      </c>
      <c r="D12" s="627">
        <f>+(+'FLUJO FONDO COOP'!R21*1.0495)</f>
        <v>6073.4250149999998</v>
      </c>
      <c r="E12" s="627">
        <f t="shared" ref="E12:G12" si="5">+D12*1.0495</f>
        <v>6374.0595532425004</v>
      </c>
      <c r="F12" s="627">
        <f t="shared" si="5"/>
        <v>6689.5755011280053</v>
      </c>
      <c r="G12" s="627">
        <f t="shared" si="5"/>
        <v>7020.7094884338421</v>
      </c>
      <c r="H12" s="285" t="s">
        <v>678</v>
      </c>
      <c r="I12" s="285"/>
      <c r="J12" s="285"/>
      <c r="K12" s="285"/>
      <c r="L12" s="285"/>
      <c r="N12" s="274"/>
      <c r="O12" s="274"/>
    </row>
    <row r="13" spans="2:15" ht="27" thickTop="1" thickBot="1">
      <c r="B13" s="593" t="s">
        <v>494</v>
      </c>
      <c r="C13" s="623">
        <f>+C3-C6+C10</f>
        <v>8119.5567228529217</v>
      </c>
      <c r="D13" s="623">
        <f>+D9+D11-D12</f>
        <v>7669.7410131844617</v>
      </c>
      <c r="E13" s="623">
        <f>+E9+E11-E12</f>
        <v>8383.6209910229991</v>
      </c>
      <c r="F13" s="623">
        <f>+F9+F11-F12</f>
        <v>9205.4942970253251</v>
      </c>
      <c r="G13" s="623">
        <f>+G9+G11-G12</f>
        <v>17675.34241056977</v>
      </c>
      <c r="H13" s="282"/>
      <c r="I13" s="282"/>
      <c r="J13" s="282"/>
      <c r="K13" s="282"/>
      <c r="L13" s="282"/>
      <c r="N13" s="272"/>
      <c r="O13" s="272"/>
    </row>
    <row r="14" spans="2:15" ht="14.25" thickTop="1" thickBot="1">
      <c r="B14" s="288" t="s">
        <v>495</v>
      </c>
      <c r="C14" s="623">
        <f>+C15+C16+C17</f>
        <v>6376.1654126618778</v>
      </c>
      <c r="D14" s="623">
        <f t="shared" ref="D14:G14" si="6">+D15+D16+D17</f>
        <v>6424.3931186618775</v>
      </c>
      <c r="E14" s="623">
        <f t="shared" si="6"/>
        <v>6448.9065747212771</v>
      </c>
      <c r="F14" s="623">
        <f t="shared" si="6"/>
        <v>6474.7658195183385</v>
      </c>
      <c r="G14" s="623">
        <f t="shared" si="6"/>
        <v>6502.0447368547575</v>
      </c>
      <c r="N14" s="274"/>
      <c r="O14" s="274"/>
    </row>
    <row r="15" spans="2:15" ht="14.25" thickTop="1" thickBot="1">
      <c r="B15" s="286" t="s">
        <v>463</v>
      </c>
      <c r="C15" s="624">
        <f>+SUELDOS!B11/12</f>
        <v>398.2833333333333</v>
      </c>
      <c r="D15" s="624">
        <f>+SUELDOS!C11/12</f>
        <v>446.51103933333337</v>
      </c>
      <c r="E15" s="624">
        <f>+SUELDOS!D11/12</f>
        <v>471.02449539273329</v>
      </c>
      <c r="F15" s="624">
        <f>+SUELDOS!E11/12</f>
        <v>496.88374018979431</v>
      </c>
      <c r="G15" s="624">
        <f>+SUELDOS!F11/12</f>
        <v>524.16265752621405</v>
      </c>
      <c r="N15" s="274"/>
      <c r="O15" s="274"/>
    </row>
    <row r="16" spans="2:15" ht="14.25" thickTop="1" thickBot="1">
      <c r="B16" s="286" t="s">
        <v>7</v>
      </c>
      <c r="C16" s="624">
        <f>+depreciación!F11</f>
        <v>1266.7690347491398</v>
      </c>
      <c r="D16" s="628">
        <f>+C16</f>
        <v>1266.7690347491398</v>
      </c>
      <c r="E16" s="628">
        <f>+D16</f>
        <v>1266.7690347491398</v>
      </c>
      <c r="F16" s="628">
        <f t="shared" ref="F16:G16" si="7">+E16</f>
        <v>1266.7690347491398</v>
      </c>
      <c r="G16" s="628">
        <f t="shared" si="7"/>
        <v>1266.7690347491398</v>
      </c>
      <c r="I16" s="664"/>
      <c r="N16" s="272"/>
      <c r="O16" s="272"/>
    </row>
    <row r="17" spans="2:15" ht="14.25" thickTop="1" thickBot="1">
      <c r="B17" s="286" t="s">
        <v>12</v>
      </c>
      <c r="C17" s="624">
        <f>+AMORT.!$K$11</f>
        <v>4711.1130445794042</v>
      </c>
      <c r="D17" s="624">
        <f>+AMORT.!$K$11</f>
        <v>4711.1130445794042</v>
      </c>
      <c r="E17" s="624">
        <f>+AMORT.!$K$11</f>
        <v>4711.1130445794042</v>
      </c>
      <c r="F17" s="624">
        <f>+AMORT.!$K$11</f>
        <v>4711.1130445794042</v>
      </c>
      <c r="G17" s="624">
        <f>+AMORT.!$K$11</f>
        <v>4711.1130445794042</v>
      </c>
      <c r="N17" s="272"/>
      <c r="O17" s="272"/>
    </row>
    <row r="18" spans="2:15" ht="14.25" thickTop="1" thickBot="1">
      <c r="B18" s="288" t="s">
        <v>496</v>
      </c>
      <c r="C18" s="623">
        <f>+C13-C15-C16-C17</f>
        <v>1743.3913101910448</v>
      </c>
      <c r="D18" s="623">
        <f>+D13-D15-D16-D17</f>
        <v>1245.3478945225843</v>
      </c>
      <c r="E18" s="623">
        <f>+E13-E15-E16-E17</f>
        <v>1934.7144163017219</v>
      </c>
      <c r="F18" s="623">
        <f>+F13-F15-F16-F17</f>
        <v>2730.7284775069866</v>
      </c>
      <c r="G18" s="623">
        <f>+G13-G15-G16-G17</f>
        <v>11173.297673715013</v>
      </c>
      <c r="N18" s="272"/>
      <c r="O18" s="272"/>
    </row>
    <row r="19" spans="2:15" ht="14.25" thickTop="1" thickBot="1">
      <c r="B19" s="288" t="s">
        <v>497</v>
      </c>
      <c r="C19" s="623">
        <f>+C20+C21</f>
        <v>0</v>
      </c>
      <c r="D19" s="628"/>
      <c r="E19" s="628"/>
      <c r="F19" s="628"/>
      <c r="G19" s="628"/>
      <c r="N19" s="274"/>
      <c r="O19" s="274"/>
    </row>
    <row r="20" spans="2:15" ht="14.25" thickTop="1" thickBot="1">
      <c r="B20" s="286" t="s">
        <v>529</v>
      </c>
      <c r="C20" s="624">
        <v>0</v>
      </c>
      <c r="D20" s="628">
        <v>3000</v>
      </c>
      <c r="E20" s="628">
        <f>+D20*1.25</f>
        <v>3750</v>
      </c>
      <c r="F20" s="628">
        <f t="shared" ref="F20:G20" si="8">+E20*1.25</f>
        <v>4687.5</v>
      </c>
      <c r="G20" s="628">
        <f t="shared" si="8"/>
        <v>5859.375</v>
      </c>
      <c r="N20" s="274"/>
      <c r="O20" s="274"/>
    </row>
    <row r="21" spans="2:15" ht="14.25" thickTop="1" thickBot="1">
      <c r="B21" s="286" t="s">
        <v>464</v>
      </c>
      <c r="C21" s="624">
        <v>0</v>
      </c>
      <c r="D21" s="628"/>
      <c r="E21" s="628"/>
      <c r="F21" s="628"/>
      <c r="G21" s="628"/>
      <c r="N21" s="274"/>
      <c r="O21" s="274"/>
    </row>
    <row r="22" spans="2:15" ht="14.25" thickTop="1" thickBot="1">
      <c r="B22" s="288" t="s">
        <v>498</v>
      </c>
      <c r="C22" s="623">
        <f>+C18-C19</f>
        <v>1743.3913101910448</v>
      </c>
      <c r="D22" s="628">
        <f>+D18+D20</f>
        <v>4245.3478945225843</v>
      </c>
      <c r="E22" s="628">
        <f>+E18+E20</f>
        <v>5684.7144163017219</v>
      </c>
      <c r="F22" s="628">
        <f>+F18+F20</f>
        <v>7418.2284775069866</v>
      </c>
      <c r="G22" s="628">
        <f>+G18+G20</f>
        <v>17032.672673715013</v>
      </c>
      <c r="N22" s="274"/>
      <c r="O22" s="274"/>
    </row>
    <row r="23" spans="2:15" ht="14.25" thickTop="1" thickBot="1">
      <c r="B23" s="289" t="s">
        <v>499</v>
      </c>
      <c r="C23" s="594">
        <f>+C22*0.15</f>
        <v>261.50869652865669</v>
      </c>
      <c r="D23" s="628">
        <f>+D22*0.15</f>
        <v>636.80218417838762</v>
      </c>
      <c r="E23" s="628">
        <f t="shared" ref="E23:G23" si="9">+E22*0.15</f>
        <v>852.70716244525829</v>
      </c>
      <c r="F23" s="628">
        <f t="shared" si="9"/>
        <v>1112.734271626048</v>
      </c>
      <c r="G23" s="628">
        <f t="shared" si="9"/>
        <v>2554.9009010572518</v>
      </c>
      <c r="N23" s="274"/>
      <c r="O23" s="274"/>
    </row>
    <row r="24" spans="2:15" ht="14.25" thickTop="1" thickBot="1">
      <c r="B24" s="289" t="s">
        <v>680</v>
      </c>
      <c r="C24" s="594">
        <f>+(C22-C23)*0.24</f>
        <v>355.65182727897314</v>
      </c>
      <c r="D24" s="628">
        <f>+(D22-D23)*0.23</f>
        <v>829.96551337916526</v>
      </c>
      <c r="E24" s="628">
        <f>+(E22-E23)*0.22</f>
        <v>1063.041595848422</v>
      </c>
      <c r="F24" s="628">
        <f>+(F22-F23)*0.22</f>
        <v>1387.2087252938065</v>
      </c>
      <c r="G24" s="628">
        <f>+(G22-G23)*0.22</f>
        <v>3185.1097899847073</v>
      </c>
      <c r="N24" s="272"/>
      <c r="O24" s="272"/>
    </row>
    <row r="25" spans="2:15" ht="14.25" thickTop="1" thickBot="1">
      <c r="B25" s="289" t="s">
        <v>500</v>
      </c>
      <c r="C25" s="594">
        <f>+C22-C23-C24</f>
        <v>1126.2307863834151</v>
      </c>
      <c r="D25" s="628">
        <f>+D22-D23-D24</f>
        <v>2778.5801969650315</v>
      </c>
      <c r="E25" s="628">
        <f t="shared" ref="E25:G25" si="10">+E22-E23-E24</f>
        <v>3768.9656580080418</v>
      </c>
      <c r="F25" s="628">
        <f t="shared" si="10"/>
        <v>4918.285480587132</v>
      </c>
      <c r="G25" s="628">
        <f t="shared" si="10"/>
        <v>11292.661982673053</v>
      </c>
      <c r="N25" s="274"/>
      <c r="O25" s="274"/>
    </row>
    <row r="26" spans="2:15" ht="13.5" thickTop="1">
      <c r="N26" s="272"/>
      <c r="O26" s="272"/>
    </row>
    <row r="27" spans="2:15" hidden="1">
      <c r="N27" s="272"/>
      <c r="O27" s="272"/>
    </row>
    <row r="28" spans="2:15" hidden="1">
      <c r="N28" s="274"/>
      <c r="O28" s="274"/>
    </row>
    <row r="29" spans="2:15" hidden="1">
      <c r="N29" s="274"/>
      <c r="O29" s="274"/>
    </row>
    <row r="30" spans="2:15" hidden="1">
      <c r="N30" s="274"/>
      <c r="O30" s="274"/>
    </row>
    <row r="31" spans="2:15" hidden="1">
      <c r="N31" s="274"/>
      <c r="O31" s="274"/>
    </row>
    <row r="32" spans="2:15" hidden="1">
      <c r="N32" s="274"/>
      <c r="O32" s="274"/>
    </row>
    <row r="33" spans="2:15" hidden="1">
      <c r="N33" s="274"/>
      <c r="O33" s="274"/>
    </row>
    <row r="34" spans="2:15" hidden="1">
      <c r="N34" s="274"/>
      <c r="O34" s="274"/>
    </row>
    <row r="35" spans="2:15" hidden="1">
      <c r="N35" s="274"/>
      <c r="O35" s="274"/>
    </row>
    <row r="36" spans="2:15">
      <c r="N36" s="272"/>
      <c r="O36" s="272"/>
    </row>
    <row r="37" spans="2:15">
      <c r="N37" s="274"/>
      <c r="O37" s="274"/>
    </row>
    <row r="38" spans="2:15" ht="13.5" thickBot="1">
      <c r="N38" s="274"/>
      <c r="O38" s="274"/>
    </row>
    <row r="39" spans="2:15" ht="13.5" thickBot="1">
      <c r="B39" s="136" t="s">
        <v>136</v>
      </c>
      <c r="C39" s="137" t="s">
        <v>159</v>
      </c>
      <c r="D39" s="137" t="s">
        <v>37</v>
      </c>
      <c r="E39" s="137" t="s">
        <v>38</v>
      </c>
      <c r="F39" s="137" t="s">
        <v>39</v>
      </c>
      <c r="G39" s="137" t="s">
        <v>40</v>
      </c>
      <c r="H39" s="137" t="s">
        <v>41</v>
      </c>
      <c r="I39" s="137" t="s">
        <v>468</v>
      </c>
      <c r="J39" s="137" t="s">
        <v>469</v>
      </c>
      <c r="K39" s="137" t="s">
        <v>470</v>
      </c>
      <c r="L39" s="137" t="s">
        <v>471</v>
      </c>
      <c r="M39" s="137" t="s">
        <v>472</v>
      </c>
      <c r="N39" s="272"/>
      <c r="O39" s="272"/>
    </row>
    <row r="40" spans="2:15" ht="15.75" thickBot="1">
      <c r="B40" s="103" t="s">
        <v>158</v>
      </c>
      <c r="C40" s="338">
        <f>+balance!D20</f>
        <v>44135.371094982802</v>
      </c>
      <c r="D40" s="104"/>
      <c r="E40" s="104"/>
      <c r="F40" s="104"/>
      <c r="G40" s="104"/>
      <c r="H40" s="104"/>
      <c r="I40" s="27"/>
      <c r="J40" s="27"/>
      <c r="K40" s="27"/>
      <c r="L40" s="27"/>
      <c r="M40" s="27"/>
      <c r="N40" s="274"/>
      <c r="O40" s="274"/>
    </row>
    <row r="41" spans="2:15" ht="13.5" thickBot="1">
      <c r="B41" s="105" t="s">
        <v>555</v>
      </c>
      <c r="C41" s="106"/>
      <c r="D41" s="29">
        <f>+C22</f>
        <v>1743.3913101910448</v>
      </c>
      <c r="E41" s="29">
        <f t="shared" ref="E41:H41" si="11">+D22</f>
        <v>4245.3478945225843</v>
      </c>
      <c r="F41" s="29">
        <f t="shared" si="11"/>
        <v>5684.7144163017219</v>
      </c>
      <c r="G41" s="29">
        <f t="shared" si="11"/>
        <v>7418.2284775069866</v>
      </c>
      <c r="H41" s="29">
        <f t="shared" si="11"/>
        <v>17032.672673715013</v>
      </c>
      <c r="I41" s="29">
        <f t="shared" ref="I41:M42" si="12">+H8</f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74"/>
      <c r="O41" s="274"/>
    </row>
    <row r="42" spans="2:15" ht="13.5" thickBot="1">
      <c r="B42" s="105" t="s">
        <v>160</v>
      </c>
      <c r="C42" s="106"/>
      <c r="D42" s="29">
        <f>+C16</f>
        <v>1266.7690347491398</v>
      </c>
      <c r="E42" s="29">
        <f>+D16</f>
        <v>1266.7690347491398</v>
      </c>
      <c r="F42" s="29">
        <f t="shared" ref="F42:H42" si="13">+E16</f>
        <v>1266.7690347491398</v>
      </c>
      <c r="G42" s="29">
        <f t="shared" si="13"/>
        <v>1266.7690347491398</v>
      </c>
      <c r="H42" s="29">
        <f t="shared" si="13"/>
        <v>1266.7690347491398</v>
      </c>
      <c r="I42" s="29">
        <f t="shared" si="12"/>
        <v>0</v>
      </c>
      <c r="J42" s="29">
        <f t="shared" si="12"/>
        <v>0</v>
      </c>
      <c r="K42" s="29">
        <f t="shared" si="12"/>
        <v>0</v>
      </c>
      <c r="L42" s="29">
        <f t="shared" si="12"/>
        <v>0</v>
      </c>
      <c r="M42" s="29">
        <f t="shared" si="12"/>
        <v>0</v>
      </c>
      <c r="N42" s="274"/>
      <c r="O42" s="274"/>
    </row>
    <row r="43" spans="2:15" ht="13.5" thickBot="1">
      <c r="B43" s="23" t="s">
        <v>161</v>
      </c>
      <c r="C43" s="104"/>
      <c r="D43" s="24"/>
      <c r="E43" s="24"/>
      <c r="F43" s="24"/>
      <c r="G43" s="24"/>
      <c r="H43" s="24"/>
      <c r="I43" s="24"/>
      <c r="J43" s="24">
        <v>1495</v>
      </c>
      <c r="K43" s="24"/>
      <c r="L43" s="24"/>
      <c r="M43" s="24"/>
      <c r="N43" s="274"/>
      <c r="O43" s="274"/>
    </row>
    <row r="44" spans="2:15" ht="13.5" thickBot="1">
      <c r="B44" s="103" t="s">
        <v>162</v>
      </c>
      <c r="C44" s="138"/>
      <c r="D44" s="290">
        <f>+C23</f>
        <v>261.50869652865669</v>
      </c>
      <c r="E44" s="290">
        <f t="shared" ref="E44:H44" si="14">+D23</f>
        <v>636.80218417838762</v>
      </c>
      <c r="F44" s="290">
        <f t="shared" si="14"/>
        <v>852.70716244525829</v>
      </c>
      <c r="G44" s="290">
        <f t="shared" si="14"/>
        <v>1112.734271626048</v>
      </c>
      <c r="H44" s="290">
        <f t="shared" si="14"/>
        <v>2554.9009010572518</v>
      </c>
      <c r="I44" s="24" t="e">
        <f>+#REF!</f>
        <v>#REF!</v>
      </c>
      <c r="J44" s="24" t="e">
        <f>+#REF!</f>
        <v>#REF!</v>
      </c>
      <c r="K44" s="24" t="e">
        <f>+#REF!</f>
        <v>#REF!</v>
      </c>
      <c r="L44" s="24" t="e">
        <f>+#REF!</f>
        <v>#REF!</v>
      </c>
      <c r="M44" s="24" t="e">
        <f>+L44</f>
        <v>#REF!</v>
      </c>
      <c r="N44" s="274"/>
      <c r="O44" s="274"/>
    </row>
    <row r="45" spans="2:15" ht="13.5" thickBot="1">
      <c r="B45" s="105" t="s">
        <v>163</v>
      </c>
      <c r="C45" s="106"/>
      <c r="D45" s="29">
        <f>+C24</f>
        <v>355.65182727897314</v>
      </c>
      <c r="E45" s="29">
        <f t="shared" ref="E45:H45" si="15">+D24</f>
        <v>829.96551337916526</v>
      </c>
      <c r="F45" s="29">
        <f t="shared" si="15"/>
        <v>1063.041595848422</v>
      </c>
      <c r="G45" s="29">
        <f t="shared" si="15"/>
        <v>1387.2087252938065</v>
      </c>
      <c r="H45" s="29">
        <f t="shared" si="15"/>
        <v>3185.1097899847073</v>
      </c>
      <c r="I45" s="29">
        <f>+H13</f>
        <v>0</v>
      </c>
      <c r="J45" s="29">
        <f>+I13</f>
        <v>0</v>
      </c>
      <c r="K45" s="29">
        <f>+J13</f>
        <v>0</v>
      </c>
      <c r="L45" s="29">
        <f>+K13</f>
        <v>0</v>
      </c>
      <c r="M45" s="29">
        <f>+L13</f>
        <v>0</v>
      </c>
      <c r="N45" s="274"/>
      <c r="O45" s="274"/>
    </row>
    <row r="46" spans="2:15" ht="13.5" thickBot="1">
      <c r="B46" s="105" t="s">
        <v>164</v>
      </c>
      <c r="C46" s="107"/>
      <c r="D46" s="24"/>
      <c r="E46" s="24"/>
      <c r="F46" s="24"/>
      <c r="G46" s="24"/>
      <c r="H46" s="24">
        <v>70000</v>
      </c>
      <c r="I46" s="24"/>
      <c r="J46" s="24"/>
      <c r="K46" s="24"/>
      <c r="L46" s="24"/>
      <c r="M46" s="29"/>
      <c r="N46" s="274"/>
      <c r="O46" s="274"/>
    </row>
    <row r="47" spans="2:15" ht="13.5" thickBot="1">
      <c r="B47" s="105"/>
      <c r="C47" s="107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72"/>
      <c r="O47" s="272"/>
    </row>
    <row r="48" spans="2:15" ht="13.5" thickBot="1">
      <c r="B48" s="105"/>
      <c r="C48" s="107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74"/>
      <c r="O48" s="274"/>
    </row>
    <row r="49" spans="2:15" ht="13.5" thickBot="1">
      <c r="B49" s="23" t="s">
        <v>165</v>
      </c>
      <c r="C49" s="340">
        <f>-C40</f>
        <v>-44135.371094982802</v>
      </c>
      <c r="D49" s="29">
        <f>+D41+D42-D44-D45+D46</f>
        <v>2392.9998211325546</v>
      </c>
      <c r="E49" s="29">
        <f>+E41+E42-E44-E45+E46</f>
        <v>4045.3492317141713</v>
      </c>
      <c r="F49" s="29">
        <f>+F41+F42-F44-F45+F46</f>
        <v>5035.7346927571816</v>
      </c>
      <c r="G49" s="29">
        <f>+G41+G42-G43-G44-G45</f>
        <v>6185.0545153362718</v>
      </c>
      <c r="H49" s="29">
        <f>+H41+H42-H44-H45+H46</f>
        <v>82559.43101742219</v>
      </c>
      <c r="I49" s="29" t="e">
        <f>+I41+I42-I44-I45+I46</f>
        <v>#REF!</v>
      </c>
      <c r="J49" s="29" t="e">
        <f>+J41+J42-J43-J44-J45</f>
        <v>#REF!</v>
      </c>
      <c r="K49" s="29" t="e">
        <f>+K41+K42-K44-K45+K46</f>
        <v>#REF!</v>
      </c>
      <c r="L49" s="29" t="e">
        <f>+L41+L42-L44-L45+L46</f>
        <v>#REF!</v>
      </c>
      <c r="M49" s="29" t="e">
        <f>+M41+M42-M44-M45+M46</f>
        <v>#REF!</v>
      </c>
      <c r="N49" s="274"/>
      <c r="O49" s="274"/>
    </row>
    <row r="50" spans="2:15">
      <c r="N50" s="274"/>
      <c r="O50" s="274"/>
    </row>
    <row r="51" spans="2:15" ht="13.5" thickBot="1">
      <c r="N51" s="274"/>
      <c r="O51" s="274"/>
    </row>
    <row r="52" spans="2:15" ht="13.5" thickBot="1">
      <c r="B52" s="136" t="s">
        <v>136</v>
      </c>
      <c r="C52" s="136" t="s">
        <v>159</v>
      </c>
      <c r="D52" s="136" t="s">
        <v>37</v>
      </c>
      <c r="E52" s="136" t="s">
        <v>38</v>
      </c>
      <c r="F52" s="136" t="s">
        <v>39</v>
      </c>
      <c r="G52" s="136" t="s">
        <v>40</v>
      </c>
      <c r="H52" s="136" t="s">
        <v>41</v>
      </c>
      <c r="I52" s="136" t="s">
        <v>468</v>
      </c>
      <c r="J52" s="136" t="s">
        <v>469</v>
      </c>
      <c r="K52" s="136" t="s">
        <v>470</v>
      </c>
      <c r="L52" s="136" t="s">
        <v>471</v>
      </c>
      <c r="M52" s="136" t="s">
        <v>472</v>
      </c>
      <c r="N52" s="272"/>
      <c r="O52" s="272"/>
    </row>
    <row r="53" spans="2:15" ht="13.5" thickBot="1">
      <c r="B53" s="102" t="s">
        <v>482</v>
      </c>
      <c r="C53" s="191">
        <f>+C49</f>
        <v>-44135.371094982802</v>
      </c>
      <c r="D53" s="191">
        <f t="shared" ref="D53:M53" si="16">+D49</f>
        <v>2392.9998211325546</v>
      </c>
      <c r="E53" s="191">
        <f t="shared" si="16"/>
        <v>4045.3492317141713</v>
      </c>
      <c r="F53" s="191">
        <f t="shared" si="16"/>
        <v>5035.7346927571816</v>
      </c>
      <c r="G53" s="191">
        <f t="shared" si="16"/>
        <v>6185.0545153362718</v>
      </c>
      <c r="H53" s="191">
        <f>+H49</f>
        <v>82559.43101742219</v>
      </c>
      <c r="I53" s="260" t="e">
        <f t="shared" si="16"/>
        <v>#REF!</v>
      </c>
      <c r="J53" s="260" t="e">
        <f t="shared" si="16"/>
        <v>#REF!</v>
      </c>
      <c r="K53" s="260" t="e">
        <f t="shared" si="16"/>
        <v>#REF!</v>
      </c>
      <c r="L53" s="260" t="e">
        <f t="shared" si="16"/>
        <v>#REF!</v>
      </c>
      <c r="M53" s="260" t="e">
        <f t="shared" si="16"/>
        <v>#REF!</v>
      </c>
      <c r="N53" s="274"/>
      <c r="O53" s="274"/>
    </row>
    <row r="54" spans="2:15" ht="13.5" thickBot="1">
      <c r="B54" s="266" t="s">
        <v>483</v>
      </c>
      <c r="C54" s="191">
        <f>+C53</f>
        <v>-44135.371094982802</v>
      </c>
      <c r="D54" s="191">
        <f>+D53/(1+'COSTO CAPITAL'!L6)</f>
        <v>2180.8051105956542</v>
      </c>
      <c r="E54" s="191">
        <f>+E53/POWER(1+'COSTO CAPITAL'!L6,2)</f>
        <v>3359.7301756331567</v>
      </c>
      <c r="F54" s="191">
        <f>+F53/POWER(1+'COSTO CAPITAL'!L6,3)</f>
        <v>3811.4077395383815</v>
      </c>
      <c r="G54" s="191">
        <f>+G53/POWER(1+'COSTO CAPITAL'!L6,4)</f>
        <v>4266.1909708512876</v>
      </c>
      <c r="H54" s="191">
        <f>+H53/POWER(1+'COSTO CAPITAL'!L6,5)</f>
        <v>51896.44891212324</v>
      </c>
      <c r="I54" s="191" t="e">
        <f>+I53/POWER(1+'COSTO CAPITAL'!$L$6,6)</f>
        <v>#REF!</v>
      </c>
      <c r="J54" s="191" t="e">
        <f>+J53/POWER(1+'COSTO CAPITAL'!$L$6,7)</f>
        <v>#REF!</v>
      </c>
      <c r="K54" s="191" t="e">
        <f>+K53/POWER(1+'COSTO CAPITAL'!$L$6,8)</f>
        <v>#REF!</v>
      </c>
      <c r="L54" s="191" t="e">
        <f>+L53/POWER(1+'COSTO CAPITAL'!$L$6,9)</f>
        <v>#REF!</v>
      </c>
      <c r="M54" s="191" t="e">
        <f>+M53/POWER(1+'COSTO CAPITAL'!$L$6,10)</f>
        <v>#REF!</v>
      </c>
      <c r="N54" s="274"/>
      <c r="O54" s="274"/>
    </row>
    <row r="55" spans="2:15" ht="13.5" thickBot="1">
      <c r="B55" s="266" t="s">
        <v>484</v>
      </c>
      <c r="C55" s="191">
        <f>SUM(C54:H54)</f>
        <v>21379.211813758917</v>
      </c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74"/>
      <c r="O55" s="274"/>
    </row>
    <row r="56" spans="2:15" ht="13.5" thickBot="1">
      <c r="N56" s="274"/>
      <c r="O56" s="274"/>
    </row>
    <row r="57" spans="2:15" ht="13.5" thickBot="1">
      <c r="B57" s="136" t="s">
        <v>136</v>
      </c>
      <c r="C57" s="136" t="s">
        <v>159</v>
      </c>
      <c r="D57" s="136" t="s">
        <v>37</v>
      </c>
      <c r="E57" s="136" t="s">
        <v>38</v>
      </c>
      <c r="F57" s="136" t="s">
        <v>39</v>
      </c>
      <c r="G57" s="136" t="s">
        <v>40</v>
      </c>
      <c r="H57" s="136" t="s">
        <v>41</v>
      </c>
      <c r="J57">
        <v>1.08</v>
      </c>
      <c r="N57" s="274"/>
      <c r="O57" s="274"/>
    </row>
    <row r="58" spans="2:15" ht="13.5" thickBot="1">
      <c r="B58" s="102" t="s">
        <v>482</v>
      </c>
      <c r="C58" s="191">
        <f>+C54</f>
        <v>-44135.371094982802</v>
      </c>
      <c r="D58" s="191">
        <f>+D53</f>
        <v>2392.9998211325546</v>
      </c>
      <c r="E58" s="191">
        <f t="shared" ref="E58:H58" si="17">+E53</f>
        <v>4045.3492317141713</v>
      </c>
      <c r="F58" s="191">
        <f t="shared" si="17"/>
        <v>5035.7346927571816</v>
      </c>
      <c r="G58" s="191">
        <f t="shared" si="17"/>
        <v>6185.0545153362718</v>
      </c>
      <c r="H58" s="191">
        <f t="shared" si="17"/>
        <v>82559.43101742219</v>
      </c>
      <c r="N58" s="274"/>
      <c r="O58" s="274"/>
    </row>
    <row r="59" spans="2:15" ht="13.5" thickBot="1">
      <c r="B59" s="266" t="s">
        <v>483</v>
      </c>
      <c r="C59" s="191">
        <f>+C58</f>
        <v>-44135.371094982802</v>
      </c>
      <c r="D59" s="191">
        <f>+D58/(1+0.08)</f>
        <v>2215.7405751227357</v>
      </c>
      <c r="E59" s="191">
        <f>+E58/POWER($J$57,2)</f>
        <v>3468.2349380265528</v>
      </c>
      <c r="F59" s="191">
        <f>+F58/POWER($J$57,3)</f>
        <v>3997.5285563344487</v>
      </c>
      <c r="G59" s="191">
        <f>+G58/POWER($J$57,4)</f>
        <v>4546.1997099456585</v>
      </c>
      <c r="H59" s="191">
        <f>+H58/POWER($J$57,5)</f>
        <v>56188.561507124788</v>
      </c>
      <c r="N59" s="274"/>
      <c r="O59" s="274"/>
    </row>
    <row r="60" spans="2:15" ht="13.5" thickBot="1">
      <c r="B60" s="266" t="s">
        <v>484</v>
      </c>
      <c r="C60" s="191">
        <f>SUM(C59:H59)</f>
        <v>26280.89419157138</v>
      </c>
      <c r="D60" s="191"/>
      <c r="E60" s="191"/>
      <c r="F60" s="191"/>
      <c r="G60" s="191"/>
      <c r="H60" s="191"/>
      <c r="N60" s="272"/>
      <c r="O60" s="272"/>
    </row>
    <row r="61" spans="2:15" ht="13.5" thickBot="1">
      <c r="N61" s="274"/>
      <c r="O61" s="274"/>
    </row>
    <row r="62" spans="2:15" ht="13.5" thickBot="1">
      <c r="B62" s="136" t="s">
        <v>136</v>
      </c>
      <c r="C62" s="136" t="s">
        <v>159</v>
      </c>
      <c r="D62" s="136" t="s">
        <v>37</v>
      </c>
      <c r="E62" s="136" t="s">
        <v>38</v>
      </c>
      <c r="F62" s="136" t="s">
        <v>39</v>
      </c>
      <c r="G62" s="136" t="s">
        <v>40</v>
      </c>
      <c r="H62" s="136" t="s">
        <v>41</v>
      </c>
      <c r="N62" s="274"/>
      <c r="O62" s="274"/>
    </row>
    <row r="63" spans="2:15" ht="13.5" thickBot="1">
      <c r="B63" s="102" t="s">
        <v>482</v>
      </c>
      <c r="C63" s="191">
        <f>+C59</f>
        <v>-44135.371094982802</v>
      </c>
      <c r="D63" s="191">
        <f t="shared" ref="D63:H63" si="18">+D59</f>
        <v>2215.7405751227357</v>
      </c>
      <c r="E63" s="191">
        <f t="shared" si="18"/>
        <v>3468.2349380265528</v>
      </c>
      <c r="F63" s="191">
        <f t="shared" si="18"/>
        <v>3997.5285563344487</v>
      </c>
      <c r="G63" s="191">
        <f t="shared" si="18"/>
        <v>4546.1997099456585</v>
      </c>
      <c r="H63" s="191">
        <f t="shared" si="18"/>
        <v>56188.561507124788</v>
      </c>
      <c r="J63">
        <v>1.113</v>
      </c>
      <c r="N63" s="274"/>
      <c r="O63" s="274"/>
    </row>
    <row r="64" spans="2:15" ht="13.5" thickBot="1">
      <c r="B64" s="266" t="s">
        <v>483</v>
      </c>
      <c r="C64" s="191">
        <f>+C63</f>
        <v>-44135.371094982802</v>
      </c>
      <c r="D64" s="191">
        <f>+D63/(1+0.112)</f>
        <v>1992.5724596427476</v>
      </c>
      <c r="E64" s="191">
        <f>+E63/POWER($J$63,2)</f>
        <v>2799.7430820649797</v>
      </c>
      <c r="F64" s="191">
        <f>+F63/POWER($J$63,3)</f>
        <v>2899.3862955367085</v>
      </c>
      <c r="G64" s="191">
        <f>+G63/POWER($J$63,4)</f>
        <v>2962.5647602079243</v>
      </c>
      <c r="H64" s="191">
        <f>+H63/POWER($J$63,5)</f>
        <v>32898.19663737886</v>
      </c>
      <c r="N64" s="274"/>
      <c r="O64" s="274"/>
    </row>
    <row r="65" spans="2:15" ht="13.5" thickBot="1">
      <c r="B65" s="266" t="s">
        <v>484</v>
      </c>
      <c r="C65" s="191">
        <f>SUM(C64:H64)</f>
        <v>-582.90786015157937</v>
      </c>
      <c r="D65" s="260"/>
      <c r="E65" s="260"/>
      <c r="F65" s="260"/>
      <c r="G65" s="260"/>
      <c r="H65" s="260"/>
      <c r="N65" s="274"/>
      <c r="O65" s="274"/>
    </row>
    <row r="66" spans="2:15">
      <c r="N66" s="274"/>
      <c r="O66" s="274"/>
    </row>
    <row r="67" spans="2:15">
      <c r="N67" s="274"/>
      <c r="O67" s="274"/>
    </row>
    <row r="68" spans="2:15">
      <c r="N68" s="272"/>
      <c r="O68" s="272"/>
    </row>
    <row r="69" spans="2:15">
      <c r="N69" s="274"/>
      <c r="O69" s="274"/>
    </row>
    <row r="70" spans="2:15">
      <c r="N70" s="274"/>
      <c r="O70" s="274"/>
    </row>
    <row r="71" spans="2:15">
      <c r="N71" s="274"/>
      <c r="O71" s="274"/>
    </row>
    <row r="72" spans="2:15">
      <c r="C72">
        <f>0.112+(0.112-0.08)*((-464.5/(-464.5-26376.77)))</f>
        <v>0.11255377409489194</v>
      </c>
      <c r="N72" s="274"/>
      <c r="O72" s="274"/>
    </row>
    <row r="73" spans="2:15">
      <c r="N73" s="272"/>
      <c r="O73" s="272"/>
    </row>
    <row r="74" spans="2:15">
      <c r="N74" s="272"/>
      <c r="O74" s="272"/>
    </row>
    <row r="75" spans="2:15">
      <c r="B75" s="28" t="s">
        <v>501</v>
      </c>
      <c r="C75" s="254">
        <v>0.113</v>
      </c>
      <c r="N75" s="274"/>
      <c r="O75" s="274"/>
    </row>
    <row r="76" spans="2:15">
      <c r="B76" s="28" t="s">
        <v>502</v>
      </c>
      <c r="C76" s="254">
        <v>0.08</v>
      </c>
      <c r="N76" s="272"/>
      <c r="O76" s="272"/>
    </row>
    <row r="77" spans="2:15">
      <c r="N77" s="274"/>
      <c r="O77" s="274"/>
    </row>
    <row r="78" spans="2:15">
      <c r="N78" s="272"/>
      <c r="O78" s="272"/>
    </row>
    <row r="79" spans="2:15">
      <c r="N79" s="274"/>
      <c r="O79" s="274"/>
    </row>
    <row r="80" spans="2:15">
      <c r="N80" s="274"/>
      <c r="O80" s="274"/>
    </row>
    <row r="81" spans="14:15">
      <c r="N81" s="272"/>
      <c r="O81" s="272"/>
    </row>
    <row r="82" spans="14:15">
      <c r="N82" s="274"/>
      <c r="O82" s="274"/>
    </row>
    <row r="83" spans="14:15">
      <c r="N83" s="272"/>
      <c r="O83" s="272"/>
    </row>
    <row r="84" spans="14:15">
      <c r="N84" s="272"/>
      <c r="O84" s="272"/>
    </row>
    <row r="85" spans="14:15">
      <c r="N85" s="272"/>
      <c r="O85" s="272"/>
    </row>
    <row r="86" spans="14:15">
      <c r="N86" s="273"/>
      <c r="O86" s="273"/>
    </row>
    <row r="87" spans="14:15">
      <c r="N87" s="272"/>
      <c r="O87" s="272"/>
    </row>
    <row r="88" spans="14:15">
      <c r="N88" s="272"/>
      <c r="O88" s="272"/>
    </row>
    <row r="89" spans="14:15">
      <c r="N89" s="274"/>
      <c r="O89" s="274"/>
    </row>
    <row r="90" spans="14:15">
      <c r="N90" s="274"/>
      <c r="O90" s="274"/>
    </row>
    <row r="91" spans="14:15">
      <c r="N91" s="274"/>
      <c r="O91" s="274"/>
    </row>
    <row r="92" spans="14:15">
      <c r="N92" s="272"/>
      <c r="O92" s="272"/>
    </row>
    <row r="93" spans="14:15">
      <c r="N93" s="274"/>
      <c r="O93" s="274"/>
    </row>
    <row r="94" spans="14:15">
      <c r="N94" s="274"/>
      <c r="O94" s="274"/>
    </row>
    <row r="95" spans="14:15">
      <c r="N95" s="274"/>
      <c r="O95" s="274"/>
    </row>
    <row r="96" spans="14:15">
      <c r="N96" s="275"/>
      <c r="O96" s="275"/>
    </row>
    <row r="97" spans="14:15">
      <c r="N97" s="272"/>
      <c r="O97" s="272"/>
    </row>
    <row r="98" spans="14:15">
      <c r="N98" s="274"/>
      <c r="O98" s="274"/>
    </row>
    <row r="99" spans="14:15">
      <c r="N99" s="274"/>
      <c r="O99" s="274"/>
    </row>
    <row r="100" spans="14:15">
      <c r="N100" s="272"/>
      <c r="O100" s="272"/>
    </row>
    <row r="101" spans="14:15">
      <c r="N101" s="272"/>
      <c r="O101" s="272"/>
    </row>
    <row r="102" spans="14:15">
      <c r="N102" s="274"/>
      <c r="O102" s="274"/>
    </row>
    <row r="103" spans="14:15">
      <c r="N103" s="274"/>
      <c r="O103" s="274"/>
    </row>
    <row r="104" spans="14:15">
      <c r="N104" s="272"/>
      <c r="O104" s="272"/>
    </row>
    <row r="105" spans="14:15">
      <c r="N105" s="274"/>
      <c r="O105" s="274"/>
    </row>
    <row r="106" spans="14:15">
      <c r="N106" s="274"/>
      <c r="O106" s="274"/>
    </row>
    <row r="107" spans="14:15">
      <c r="N107" s="272"/>
      <c r="O107" s="272"/>
    </row>
    <row r="108" spans="14:15">
      <c r="N108" s="274"/>
      <c r="O108" s="274"/>
    </row>
    <row r="109" spans="14:15">
      <c r="N109" s="274"/>
      <c r="O109" s="274"/>
    </row>
    <row r="110" spans="14:15">
      <c r="N110" s="272"/>
      <c r="O110" s="272"/>
    </row>
    <row r="111" spans="14:15">
      <c r="N111" s="274"/>
      <c r="O111" s="274"/>
    </row>
    <row r="112" spans="14:15">
      <c r="N112" s="272"/>
      <c r="O112" s="272"/>
    </row>
    <row r="113" spans="14:15">
      <c r="N113" s="274"/>
      <c r="O113" s="274"/>
    </row>
    <row r="114" spans="14:15">
      <c r="N114" s="276"/>
      <c r="O114" s="276"/>
    </row>
    <row r="115" spans="14:15">
      <c r="N115" s="272"/>
      <c r="O115" s="272"/>
    </row>
    <row r="116" spans="14:15">
      <c r="N116" s="274"/>
      <c r="O116" s="274"/>
    </row>
    <row r="117" spans="14:15">
      <c r="N117" s="274"/>
      <c r="O117" s="274"/>
    </row>
    <row r="118" spans="14:15">
      <c r="N118" s="272"/>
      <c r="O118" s="272"/>
    </row>
    <row r="119" spans="14:15">
      <c r="N119" s="274"/>
      <c r="O119" s="274"/>
    </row>
    <row r="120" spans="14:15">
      <c r="N120" s="277"/>
      <c r="O120" s="277"/>
    </row>
    <row r="121" spans="14:15">
      <c r="N121" s="278"/>
      <c r="O121" s="278"/>
    </row>
    <row r="122" spans="14:15">
      <c r="N122" s="279"/>
      <c r="O122" s="279"/>
    </row>
    <row r="162" spans="2:3">
      <c r="B162" s="28" t="s">
        <v>473</v>
      </c>
      <c r="C162" s="265"/>
    </row>
    <row r="163" spans="2:3">
      <c r="B163" s="28" t="s">
        <v>474</v>
      </c>
      <c r="C163" s="262" t="e">
        <f>IRR(C49:M49,25)</f>
        <v>#VALUE!</v>
      </c>
    </row>
  </sheetData>
  <pageMargins left="0.7" right="0.7" top="0.75" bottom="0.75" header="0.3" footer="0.3"/>
  <pageSetup orientation="portrait" horizontalDpi="4294967294" r:id="rId1"/>
  <legacyDrawing r:id="rId2"/>
  <oleObjects>
    <oleObject progId="Equation.3" shapeId="40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2</vt:i4>
      </vt:variant>
    </vt:vector>
  </HeadingPairs>
  <TitlesOfParts>
    <vt:vector size="36" baseType="lpstr">
      <vt:lpstr>listado socios</vt:lpstr>
      <vt:lpstr>FLUJO FONDO COOP</vt:lpstr>
      <vt:lpstr>FLUJO CENTRO ACOPIO</vt:lpstr>
      <vt:lpstr>FLUJO TOTAL</vt:lpstr>
      <vt:lpstr>flujo proyectado  centro 5 años</vt:lpstr>
      <vt:lpstr>E.Situación </vt:lpstr>
      <vt:lpstr>E.Situación  PROYECTADO</vt:lpstr>
      <vt:lpstr>AMORT.</vt:lpstr>
      <vt:lpstr>EERR VAN Y TIR</vt:lpstr>
      <vt:lpstr>SUELDOS</vt:lpstr>
      <vt:lpstr>RESUMEN</vt:lpstr>
      <vt:lpstr>PRESUPUESTO CONSTR</vt:lpstr>
      <vt:lpstr>EQ COMPUTO</vt:lpstr>
      <vt:lpstr>EQ. OFIC</vt:lpstr>
      <vt:lpstr>MUEB. Y ENSER</vt:lpstr>
      <vt:lpstr>MAQ Y EQ</vt:lpstr>
      <vt:lpstr>DEMANDA ACTUAL</vt:lpstr>
      <vt:lpstr>PROYECCION DEMANDA</vt:lpstr>
      <vt:lpstr>ANEXO B.N.F.</vt:lpstr>
      <vt:lpstr>SIMBOLOGIA</vt:lpstr>
      <vt:lpstr>FLUJO AGRICULTOR</vt:lpstr>
      <vt:lpstr>flujo agricultor 1</vt:lpstr>
      <vt:lpstr>COSTOS DE PRODUCCION</vt:lpstr>
      <vt:lpstr>FLUJO INDIVIDUAL AGRICULTOR</vt:lpstr>
      <vt:lpstr>PRECIOS QUINTALES</vt:lpstr>
      <vt:lpstr>balance</vt:lpstr>
      <vt:lpstr>depreciación</vt:lpstr>
      <vt:lpstr>COSTO CAPITAL</vt:lpstr>
      <vt:lpstr>anexo</vt:lpstr>
      <vt:lpstr>CARACTERIUZ. PRODUCTO</vt:lpstr>
      <vt:lpstr>TAB AMORT. PRUEB</vt:lpstr>
      <vt:lpstr>FLUJO COOP (2)</vt:lpstr>
      <vt:lpstr>Hoja2</vt:lpstr>
      <vt:lpstr>Hoja1</vt:lpstr>
      <vt:lpstr>'CARACTERIUZ. PRODUCTO'!ALMACENAMIENTO1</vt:lpstr>
      <vt:lpstr>'CARACTERIUZ. PRODUCTO'!COSECHA1</vt:lpstr>
    </vt:vector>
  </TitlesOfParts>
  <Company>COMPULINE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JCMV</dc:creator>
  <cp:lastModifiedBy>Pc</cp:lastModifiedBy>
  <cp:lastPrinted>2012-04-29T18:11:11Z</cp:lastPrinted>
  <dcterms:created xsi:type="dcterms:W3CDTF">2006-09-17T15:15:28Z</dcterms:created>
  <dcterms:modified xsi:type="dcterms:W3CDTF">2012-05-01T20:53:11Z</dcterms:modified>
</cp:coreProperties>
</file>