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05" windowWidth="10335" windowHeight="4815" firstSheet="2" activeTab="6"/>
  </bookViews>
  <sheets>
    <sheet name="DEMANDA INSATISFESCHA" sheetId="19" r:id="rId1"/>
    <sheet name="PRECIO PROM." sheetId="18" r:id="rId2"/>
    <sheet name="INV. FIJA" sheetId="1" r:id="rId3"/>
    <sheet name="CAP. TRAB." sheetId="2" r:id="rId4"/>
    <sheet name="RES. INVERSION" sheetId="3" r:id="rId5"/>
    <sheet name="DEPRES." sheetId="4" r:id="rId6"/>
    <sheet name="AMORTIZACION" sheetId="5" r:id="rId7"/>
    <sheet name="COST. PRODU." sheetId="6" r:id="rId8"/>
    <sheet name="MANO OBRA IND." sheetId="7" r:id="rId9"/>
    <sheet name="GAST. ADM. OPERAC." sheetId="8" r:id="rId10"/>
    <sheet name="GASTO VENTA" sheetId="9" r:id="rId11"/>
    <sheet name="G. PROM.  PUB." sheetId="10" r:id="rId12"/>
    <sheet name="G. FINANC." sheetId="11" r:id="rId13"/>
    <sheet name="RESUM. COST. GAST." sheetId="12" r:id="rId14"/>
    <sheet name="PROYEC. COSTOS Y GAST." sheetId="13" r:id="rId15"/>
    <sheet name="COSTOS FIJOS" sheetId="20" r:id="rId16"/>
    <sheet name="COSTOS VAR." sheetId="21" r:id="rId17"/>
    <sheet name="VENTA PROY." sheetId="14" r:id="rId18"/>
    <sheet name="FLUJO DE CAJA" sheetId="15" r:id="rId19"/>
    <sheet name="BAL. PROY. RESUL." sheetId="16" r:id="rId20"/>
    <sheet name="ENTRADA EFEC." sheetId="22" r:id="rId21"/>
    <sheet name="REL. BENEF. COST." sheetId="17" r:id="rId22"/>
    <sheet name="VAN Y TIR" sheetId="23" r:id="rId23"/>
  </sheets>
  <calcPr calcId="124519"/>
</workbook>
</file>

<file path=xl/calcChain.xml><?xml version="1.0" encoding="utf-8"?>
<calcChain xmlns="http://schemas.openxmlformats.org/spreadsheetml/2006/main">
  <c r="E8" i="1"/>
  <c r="D23" i="23"/>
  <c r="D22"/>
  <c r="D21"/>
  <c r="D20"/>
  <c r="D19"/>
  <c r="D12"/>
  <c r="D7"/>
  <c r="C23"/>
  <c r="F23" s="1"/>
  <c r="C22"/>
  <c r="E22" s="1"/>
  <c r="C21"/>
  <c r="E21" s="1"/>
  <c r="C20"/>
  <c r="E20" s="1"/>
  <c r="F19"/>
  <c r="C19"/>
  <c r="E19" s="1"/>
  <c r="F12"/>
  <c r="F11"/>
  <c r="F10"/>
  <c r="F9"/>
  <c r="F8"/>
  <c r="B8"/>
  <c r="F7" s="1"/>
  <c r="B10" i="17"/>
  <c r="B11" i="16"/>
  <c r="C11" s="1"/>
  <c r="D11" s="1"/>
  <c r="E11" s="1"/>
  <c r="F11" s="1"/>
  <c r="F10"/>
  <c r="E10"/>
  <c r="D10"/>
  <c r="C10"/>
  <c r="B10"/>
  <c r="F7"/>
  <c r="E7"/>
  <c r="D7"/>
  <c r="C7"/>
  <c r="B7"/>
  <c r="H18" i="15"/>
  <c r="G18"/>
  <c r="F18"/>
  <c r="E18"/>
  <c r="D18"/>
  <c r="B6" i="16"/>
  <c r="B8" s="1"/>
  <c r="C6"/>
  <c r="C8" s="1"/>
  <c r="D6"/>
  <c r="D8" s="1"/>
  <c r="E6"/>
  <c r="E8" s="1"/>
  <c r="F6"/>
  <c r="F8" s="1"/>
  <c r="F17" i="13"/>
  <c r="E17"/>
  <c r="D17"/>
  <c r="C17"/>
  <c r="G16" i="15"/>
  <c r="F16"/>
  <c r="E16"/>
  <c r="D16"/>
  <c r="G15"/>
  <c r="F15"/>
  <c r="E15"/>
  <c r="D15"/>
  <c r="C16"/>
  <c r="C15"/>
  <c r="D7" i="8"/>
  <c r="B12" i="13" s="1"/>
  <c r="B11" i="12"/>
  <c r="D5" i="8"/>
  <c r="B7" i="20"/>
  <c r="B6"/>
  <c r="B5"/>
  <c r="B10"/>
  <c r="D8" i="4"/>
  <c r="D7"/>
  <c r="D5"/>
  <c r="D4"/>
  <c r="B8"/>
  <c r="B6"/>
  <c r="D6" s="1"/>
  <c r="D9" s="1"/>
  <c r="B7"/>
  <c r="B5"/>
  <c r="B4"/>
  <c r="B3" i="3"/>
  <c r="D27" i="1"/>
  <c r="D26"/>
  <c r="E24" s="1"/>
  <c r="D23"/>
  <c r="E22" s="1"/>
  <c r="D21"/>
  <c r="E20" s="1"/>
  <c r="D19"/>
  <c r="D18"/>
  <c r="D17"/>
  <c r="D16"/>
  <c r="D15"/>
  <c r="E14" s="1"/>
  <c r="D13"/>
  <c r="D12"/>
  <c r="D11"/>
  <c r="D10"/>
  <c r="D9"/>
  <c r="D7"/>
  <c r="D6"/>
  <c r="E5"/>
  <c r="E28" s="1"/>
  <c r="F16" i="13"/>
  <c r="E16"/>
  <c r="D16"/>
  <c r="B16"/>
  <c r="C16"/>
  <c r="B17"/>
  <c r="B6" i="11"/>
  <c r="B5"/>
  <c r="B6" i="5"/>
  <c r="D9" s="1"/>
  <c r="E9" s="1"/>
  <c r="B10" s="1"/>
  <c r="B9"/>
  <c r="C9"/>
  <c r="E16" i="16" l="1"/>
  <c r="C16"/>
  <c r="C8" i="22"/>
  <c r="C6"/>
  <c r="B13" i="13"/>
  <c r="C24" i="15" s="1"/>
  <c r="D4" i="8"/>
  <c r="B9" i="20" s="1"/>
  <c r="B11" s="1"/>
  <c r="F16" i="16"/>
  <c r="D16"/>
  <c r="B16"/>
  <c r="C9" i="22"/>
  <c r="C7"/>
  <c r="C5"/>
  <c r="C10" s="1"/>
  <c r="B15" i="12"/>
  <c r="E7" i="23"/>
  <c r="H13" s="1"/>
  <c r="F20"/>
  <c r="F22"/>
  <c r="F21"/>
  <c r="C18"/>
  <c r="D18" s="1"/>
  <c r="D24" s="1"/>
  <c r="F13"/>
  <c r="E23"/>
  <c r="F9" i="5"/>
  <c r="C10"/>
  <c r="D24" i="15" l="1"/>
  <c r="C6" i="17"/>
  <c r="F18" i="23"/>
  <c r="F24" s="1"/>
  <c r="E18"/>
  <c r="E24" s="1"/>
  <c r="D10" i="5"/>
  <c r="E10" s="1"/>
  <c r="B11" s="1"/>
  <c r="E8" i="19"/>
  <c r="E7"/>
  <c r="E6"/>
  <c r="E5"/>
  <c r="E4"/>
  <c r="D4"/>
  <c r="D5"/>
  <c r="D6"/>
  <c r="D7"/>
  <c r="D8"/>
  <c r="B12" i="14"/>
  <c r="B11"/>
  <c r="B10"/>
  <c r="B9"/>
  <c r="B8"/>
  <c r="B7"/>
  <c r="C5" i="9"/>
  <c r="C4"/>
  <c r="E5" i="7"/>
  <c r="F5" s="1"/>
  <c r="E26" i="2"/>
  <c r="E25"/>
  <c r="E24"/>
  <c r="E23"/>
  <c r="F15"/>
  <c r="F6"/>
  <c r="E22"/>
  <c r="E21"/>
  <c r="E19"/>
  <c r="E18"/>
  <c r="E17"/>
  <c r="E16"/>
  <c r="E14"/>
  <c r="E13"/>
  <c r="E12"/>
  <c r="E11"/>
  <c r="E10"/>
  <c r="E9"/>
  <c r="E8"/>
  <c r="E7"/>
  <c r="E5"/>
  <c r="H12" i="14"/>
  <c r="H11"/>
  <c r="H10"/>
  <c r="H9"/>
  <c r="H8"/>
  <c r="H7"/>
  <c r="J6" i="15"/>
  <c r="M10"/>
  <c r="B21" i="13"/>
  <c r="B7" i="21" s="1"/>
  <c r="B13" i="12"/>
  <c r="E18" i="6"/>
  <c r="E17"/>
  <c r="E16"/>
  <c r="E15"/>
  <c r="E14"/>
  <c r="E13"/>
  <c r="E12"/>
  <c r="E10"/>
  <c r="D7" i="18"/>
  <c r="E7" s="1"/>
  <c r="F7" s="1"/>
  <c r="D6"/>
  <c r="E6" s="1"/>
  <c r="F6" s="1"/>
  <c r="E5"/>
  <c r="F5" s="1"/>
  <c r="D5"/>
  <c r="C7"/>
  <c r="C6"/>
  <c r="C5"/>
  <c r="E24" i="15" l="1"/>
  <c r="F24" s="1"/>
  <c r="C7" i="17"/>
  <c r="C11" i="5"/>
  <c r="F10"/>
  <c r="F20" i="2"/>
  <c r="F6" i="6"/>
  <c r="D12" i="14"/>
  <c r="D11"/>
  <c r="D10"/>
  <c r="D9"/>
  <c r="D8"/>
  <c r="D7"/>
  <c r="C21" i="13"/>
  <c r="D21" s="1"/>
  <c r="E21" s="1"/>
  <c r="F21" s="1"/>
  <c r="C8" i="10"/>
  <c r="C6"/>
  <c r="C5"/>
  <c r="C4"/>
  <c r="D5" i="9"/>
  <c r="D4"/>
  <c r="D6" i="8"/>
  <c r="F11" i="6"/>
  <c r="F8"/>
  <c r="B6" i="13" s="1"/>
  <c r="E7" i="6"/>
  <c r="F4" i="2"/>
  <c r="F27" s="1"/>
  <c r="B4" i="3" s="1"/>
  <c r="G24" i="15" l="1"/>
  <c r="C10" i="17" s="1"/>
  <c r="D10" s="1"/>
  <c r="C9"/>
  <c r="C8"/>
  <c r="C6" i="13"/>
  <c r="D11" i="5"/>
  <c r="E11" s="1"/>
  <c r="B12" s="1"/>
  <c r="B5" i="13"/>
  <c r="B6" i="12"/>
  <c r="C8" i="15" s="1"/>
  <c r="B18" i="13"/>
  <c r="D6" i="15"/>
  <c r="H6"/>
  <c r="G6"/>
  <c r="F6"/>
  <c r="E6"/>
  <c r="B7" i="13"/>
  <c r="B8" i="12"/>
  <c r="C10" i="15" s="1"/>
  <c r="D10" s="1"/>
  <c r="E10" s="1"/>
  <c r="F10" s="1"/>
  <c r="G10" s="1"/>
  <c r="H10" s="1"/>
  <c r="D6" i="13"/>
  <c r="E6" s="1"/>
  <c r="F6" s="1"/>
  <c r="F19" i="6"/>
  <c r="B7" i="12"/>
  <c r="D6" i="9"/>
  <c r="D7" s="1"/>
  <c r="D8" i="8" l="1"/>
  <c r="B5" i="21"/>
  <c r="B12" i="12"/>
  <c r="C17" i="15" s="1"/>
  <c r="D17" s="1"/>
  <c r="E17" s="1"/>
  <c r="F17" s="1"/>
  <c r="G17" s="1"/>
  <c r="H17" s="1"/>
  <c r="B20" i="13"/>
  <c r="C13"/>
  <c r="D13" s="1"/>
  <c r="E13" s="1"/>
  <c r="F13" s="1"/>
  <c r="B7" i="11"/>
  <c r="B14" i="12" s="1"/>
  <c r="C12" i="5"/>
  <c r="F11"/>
  <c r="B5" i="3"/>
  <c r="B23" i="15" s="1"/>
  <c r="B25" s="1"/>
  <c r="C5" i="12"/>
  <c r="C9" i="15"/>
  <c r="D9" s="1"/>
  <c r="E9" s="1"/>
  <c r="C9" i="12"/>
  <c r="C7" i="13"/>
  <c r="B8"/>
  <c r="B6" i="21" l="1"/>
  <c r="B8" s="1"/>
  <c r="B22" i="13"/>
  <c r="C20"/>
  <c r="C14" i="15"/>
  <c r="D14" s="1"/>
  <c r="E14" s="1"/>
  <c r="F14" s="1"/>
  <c r="G14" s="1"/>
  <c r="H14" s="1"/>
  <c r="D12" i="5"/>
  <c r="E12" s="1"/>
  <c r="B13" s="1"/>
  <c r="D11" i="15"/>
  <c r="E11"/>
  <c r="F9"/>
  <c r="D18" i="13"/>
  <c r="C18"/>
  <c r="C12"/>
  <c r="D7"/>
  <c r="C8"/>
  <c r="D20" l="1"/>
  <c r="C22"/>
  <c r="C13" i="5"/>
  <c r="D13" s="1"/>
  <c r="E13" s="1"/>
  <c r="F12"/>
  <c r="G9" i="15"/>
  <c r="F11"/>
  <c r="F18" i="13"/>
  <c r="D12"/>
  <c r="E7"/>
  <c r="D8"/>
  <c r="E20" l="1"/>
  <c r="D22"/>
  <c r="H9" i="15"/>
  <c r="H11" s="1"/>
  <c r="G11"/>
  <c r="E18" i="13"/>
  <c r="E12"/>
  <c r="F7"/>
  <c r="F8" s="1"/>
  <c r="E8"/>
  <c r="F20" l="1"/>
  <c r="F22" s="1"/>
  <c r="E22"/>
  <c r="F12"/>
  <c r="E4" i="7"/>
  <c r="F4" s="1"/>
  <c r="F6" s="1"/>
  <c r="B10" i="12" l="1"/>
  <c r="B11" i="13"/>
  <c r="B8" i="20" s="1"/>
  <c r="C13" i="15" l="1"/>
  <c r="C16" i="12"/>
  <c r="B14" i="13"/>
  <c r="B9" i="16" s="1"/>
  <c r="B12" s="1"/>
  <c r="C11" i="13"/>
  <c r="B14" i="16" l="1"/>
  <c r="B13"/>
  <c r="D11" i="13"/>
  <c r="C14"/>
  <c r="C9" i="16" s="1"/>
  <c r="C12" s="1"/>
  <c r="B23" i="13"/>
  <c r="B24" s="1"/>
  <c r="C25" i="15"/>
  <c r="D13"/>
  <c r="C14" i="16" l="1"/>
  <c r="C13"/>
  <c r="C15" s="1"/>
  <c r="C17" s="1"/>
  <c r="B6" i="22" s="1"/>
  <c r="D6" s="1"/>
  <c r="B15" i="16"/>
  <c r="B17" s="1"/>
  <c r="B5" i="22" s="1"/>
  <c r="D14" i="13"/>
  <c r="D9" i="16" s="1"/>
  <c r="D12" s="1"/>
  <c r="E11" i="13"/>
  <c r="E13" i="15"/>
  <c r="C23" i="13"/>
  <c r="C24" s="1"/>
  <c r="D5" i="22" l="1"/>
  <c r="D14" i="16"/>
  <c r="D13"/>
  <c r="D19" i="15"/>
  <c r="D20" s="1"/>
  <c r="D23" i="13"/>
  <c r="D24" s="1"/>
  <c r="F13" i="15"/>
  <c r="F11" i="13"/>
  <c r="F14" s="1"/>
  <c r="F9" i="16" s="1"/>
  <c r="F12" s="1"/>
  <c r="E14" i="13"/>
  <c r="E9" i="16" s="1"/>
  <c r="E12" s="1"/>
  <c r="F14" l="1"/>
  <c r="F13"/>
  <c r="F15" s="1"/>
  <c r="F17" s="1"/>
  <c r="B9" i="22" s="1"/>
  <c r="D9" s="1"/>
  <c r="D17" i="16"/>
  <c r="B7" i="22" s="1"/>
  <c r="D15" i="16"/>
  <c r="E14"/>
  <c r="E15"/>
  <c r="E13"/>
  <c r="D21" i="15"/>
  <c r="D22" s="1"/>
  <c r="D25" s="1"/>
  <c r="E23" i="13"/>
  <c r="E24" s="1"/>
  <c r="G13" i="15"/>
  <c r="F23" i="13"/>
  <c r="F24" s="1"/>
  <c r="E19" i="15"/>
  <c r="E20" s="1"/>
  <c r="B6" i="17" l="1"/>
  <c r="D6" s="1"/>
  <c r="D8" i="23"/>
  <c r="E17" i="16"/>
  <c r="B8" i="22" s="1"/>
  <c r="D8" s="1"/>
  <c r="D7"/>
  <c r="B10"/>
  <c r="E21" i="15"/>
  <c r="E22" s="1"/>
  <c r="E25" s="1"/>
  <c r="F19"/>
  <c r="F20" s="1"/>
  <c r="H13"/>
  <c r="D9" i="23" l="1"/>
  <c r="B7" i="17"/>
  <c r="D7" s="1"/>
  <c r="D10" i="22"/>
  <c r="G19" i="15"/>
  <c r="G20" s="1"/>
  <c r="H19"/>
  <c r="H20" s="1"/>
  <c r="F21"/>
  <c r="F22" s="1"/>
  <c r="F25" s="1"/>
  <c r="B8" i="17" l="1"/>
  <c r="D8" s="1"/>
  <c r="D10" i="23"/>
  <c r="H21" i="15"/>
  <c r="H22" s="1"/>
  <c r="H25" s="1"/>
  <c r="G21"/>
  <c r="G22" s="1"/>
  <c r="G25" s="1"/>
  <c r="D11" i="23" l="1"/>
  <c r="B9" i="17"/>
  <c r="D9" s="1"/>
  <c r="D11" s="1"/>
  <c r="D13" s="1"/>
</calcChain>
</file>

<file path=xl/sharedStrings.xml><?xml version="1.0" encoding="utf-8"?>
<sst xmlns="http://schemas.openxmlformats.org/spreadsheetml/2006/main" count="347" uniqueCount="231">
  <si>
    <t>Canasta de recolección</t>
  </si>
  <si>
    <t>Gavetas</t>
  </si>
  <si>
    <t>Sistema de riego</t>
  </si>
  <si>
    <t>Escritorios</t>
  </si>
  <si>
    <t>Sillas giratorias</t>
  </si>
  <si>
    <t>Sillas apilables</t>
  </si>
  <si>
    <t>Teléfono</t>
  </si>
  <si>
    <t>Terreno</t>
  </si>
  <si>
    <t>Bodega</t>
  </si>
  <si>
    <t>Vivero</t>
  </si>
  <si>
    <t>R.U.C.</t>
  </si>
  <si>
    <t>Capacitación</t>
  </si>
  <si>
    <t>TOTAL</t>
  </si>
  <si>
    <t>Capital de trabajo.</t>
  </si>
  <si>
    <t>Esqueje</t>
  </si>
  <si>
    <t>Nuvan</t>
  </si>
  <si>
    <t>Aceite agrícola</t>
  </si>
  <si>
    <t>Acefato</t>
  </si>
  <si>
    <t>Azufre micronizado</t>
  </si>
  <si>
    <t>Carbendazin</t>
  </si>
  <si>
    <t>Metil tiofanato</t>
  </si>
  <si>
    <t>Propamorcard</t>
  </si>
  <si>
    <t>Oxicluro cobre</t>
  </si>
  <si>
    <t>Fertilizantes</t>
  </si>
  <si>
    <t>Desinfectantes</t>
  </si>
  <si>
    <t>Energía eléctrica</t>
  </si>
  <si>
    <t>Agua potable</t>
  </si>
  <si>
    <t>Promoción y publicidad</t>
  </si>
  <si>
    <t>cc.</t>
  </si>
  <si>
    <t>lt.</t>
  </si>
  <si>
    <t>gr.</t>
  </si>
  <si>
    <t>Kg.</t>
  </si>
  <si>
    <t>qq</t>
  </si>
  <si>
    <t>Kw./h</t>
  </si>
  <si>
    <t>M3</t>
  </si>
  <si>
    <t>Min.</t>
  </si>
  <si>
    <t>Gerente</t>
  </si>
  <si>
    <t>Ing. Agrónomo</t>
  </si>
  <si>
    <t>Resumen de inversiones.</t>
  </si>
  <si>
    <t>Inversión fija</t>
  </si>
  <si>
    <t>Capital de trabajo</t>
  </si>
  <si>
    <t xml:space="preserve">                        TOTAL</t>
  </si>
  <si>
    <t>%</t>
  </si>
  <si>
    <t>Equipo de oficina</t>
  </si>
  <si>
    <t>Costo de producción</t>
  </si>
  <si>
    <t>Agrónomo</t>
  </si>
  <si>
    <t>Postes de madera</t>
  </si>
  <si>
    <t>Malla</t>
  </si>
  <si>
    <t>Brea</t>
  </si>
  <si>
    <t>Fundas polietileno</t>
  </si>
  <si>
    <t>Lb.</t>
  </si>
  <si>
    <t>m.</t>
  </si>
  <si>
    <t>lb.</t>
  </si>
  <si>
    <t>Gastos de mano de obra indirecta</t>
  </si>
  <si>
    <t>Gastos administrativos de operación</t>
  </si>
  <si>
    <t>Gasto anual</t>
  </si>
  <si>
    <t>Servicios básicos</t>
  </si>
  <si>
    <t>Depreciaciones</t>
  </si>
  <si>
    <t>Imprevistos 3%</t>
  </si>
  <si>
    <t>Gasto de ventas</t>
  </si>
  <si>
    <t>Gasto de promoción y publicidad.</t>
  </si>
  <si>
    <t>Radio</t>
  </si>
  <si>
    <t>Prensa escrita</t>
  </si>
  <si>
    <t>Gasto financiero</t>
  </si>
  <si>
    <t>Pago del capital</t>
  </si>
  <si>
    <t>Pago de interés</t>
  </si>
  <si>
    <t>RUBROS</t>
  </si>
  <si>
    <t>VALOR PARCIAL</t>
  </si>
  <si>
    <t>VALOR TOTAL</t>
  </si>
  <si>
    <t>Materia prima</t>
  </si>
  <si>
    <t>Mano de obra directa</t>
  </si>
  <si>
    <t>Costos indirectos de fabricación</t>
  </si>
  <si>
    <t>Gasto mano de obra indirecta</t>
  </si>
  <si>
    <t>Gasto administrativo de operación.</t>
  </si>
  <si>
    <t>Gasto de promoción y publicidad</t>
  </si>
  <si>
    <t>Proyección de costos y gastos.</t>
  </si>
  <si>
    <t>Año1</t>
  </si>
  <si>
    <t>Año2</t>
  </si>
  <si>
    <t>Año3</t>
  </si>
  <si>
    <t>Año4</t>
  </si>
  <si>
    <t>Año5</t>
  </si>
  <si>
    <t>TOTAL COSTOS:</t>
  </si>
  <si>
    <t>Gasto Administrativo:</t>
  </si>
  <si>
    <t>Total Gasto Administrativo:</t>
  </si>
  <si>
    <t>Gasto financiero:</t>
  </si>
  <si>
    <t>Pago de capital</t>
  </si>
  <si>
    <t>Total Gasto financiero:</t>
  </si>
  <si>
    <t>Gasto de ventas:</t>
  </si>
  <si>
    <t>Total Gasto de Ventas:</t>
  </si>
  <si>
    <t>TOTAL GASTOS:</t>
  </si>
  <si>
    <t>TOTAL COSTOS Y GASTOS</t>
  </si>
  <si>
    <t>Ventas proyectadas del producto en la Provincia de Imbabura</t>
  </si>
  <si>
    <t>Período 2011– 2016</t>
  </si>
  <si>
    <t>Años</t>
  </si>
  <si>
    <t>Unidades proyectadas</t>
  </si>
  <si>
    <t>Precio de venta</t>
  </si>
  <si>
    <t>CONCEPTO</t>
  </si>
  <si>
    <t>Ingresos:</t>
  </si>
  <si>
    <t>Ventas</t>
  </si>
  <si>
    <t>( - ) Costo de producción</t>
  </si>
  <si>
    <t>( - ) Gastos administrativos</t>
  </si>
  <si>
    <t>( - )15% participación trabajadores</t>
  </si>
  <si>
    <t>( - )25% Impuesto a la renta</t>
  </si>
  <si>
    <t>( - ) Inversión</t>
  </si>
  <si>
    <t>+ Depreciación</t>
  </si>
  <si>
    <t xml:space="preserve"> = Utilidad bruta</t>
  </si>
  <si>
    <t xml:space="preserve"> = Utilidad antes de participación</t>
  </si>
  <si>
    <t xml:space="preserve"> = Utilidad antes de impuestos</t>
  </si>
  <si>
    <t xml:space="preserve"> = Utilidad neta</t>
  </si>
  <si>
    <t xml:space="preserve"> = Flujos netos de efectivo</t>
  </si>
  <si>
    <t>BALANCE DE RESULTADOS PROYECTADO</t>
  </si>
  <si>
    <t>Concepto.</t>
  </si>
  <si>
    <t>Año 1</t>
  </si>
  <si>
    <t>Año 2</t>
  </si>
  <si>
    <t>Año 3</t>
  </si>
  <si>
    <t>Año 4</t>
  </si>
  <si>
    <t>Año 5</t>
  </si>
  <si>
    <t>Utilidad bruta:</t>
  </si>
  <si>
    <t>Gasto administrativo</t>
  </si>
  <si>
    <t>15% Particip. trabajadores</t>
  </si>
  <si>
    <t>25% Impuesto  a la renta</t>
  </si>
  <si>
    <t>CENTRO DE EXPENDIO</t>
  </si>
  <si>
    <t>Mayorista</t>
  </si>
  <si>
    <t>Mercado</t>
  </si>
  <si>
    <t>Supermaxi</t>
  </si>
  <si>
    <t>Contadora - Cajera</t>
  </si>
  <si>
    <t>Operarios - Vendedor</t>
  </si>
  <si>
    <t>Operarios - Vendedores</t>
  </si>
  <si>
    <t>Gasto de representación</t>
  </si>
  <si>
    <t>Gastos de representación</t>
  </si>
  <si>
    <t>Viaticos en venta</t>
  </si>
  <si>
    <t>Contadora- Cajera</t>
  </si>
  <si>
    <t>Total de  ventas</t>
  </si>
  <si>
    <t>Insumos</t>
  </si>
  <si>
    <t>Mano de obra</t>
  </si>
  <si>
    <t>Gastos generales de fabricación</t>
  </si>
  <si>
    <r>
      <rPr>
        <sz val="7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Mano de obra directa</t>
    </r>
  </si>
  <si>
    <r>
      <rPr>
        <sz val="7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Gastos indirectos de fabricación.</t>
    </r>
  </si>
  <si>
    <t>IVA 12 %</t>
  </si>
  <si>
    <t>COSTOS</t>
  </si>
  <si>
    <t>GASTOS</t>
  </si>
  <si>
    <t>AÑOS</t>
  </si>
  <si>
    <t>DEMANDA</t>
  </si>
  <si>
    <t>OFERTA</t>
  </si>
  <si>
    <t>DEMANDA INSATISFECHA</t>
  </si>
  <si>
    <t>COSTOS FIJOS</t>
  </si>
  <si>
    <t>RUBRO</t>
  </si>
  <si>
    <t>CANT.</t>
  </si>
  <si>
    <t>COSTOS VARIABLES</t>
  </si>
  <si>
    <t>dato</t>
  </si>
  <si>
    <t>periodos</t>
  </si>
  <si>
    <t>tasa</t>
  </si>
  <si>
    <t>dato dividido para 12</t>
  </si>
  <si>
    <t>cuota</t>
  </si>
  <si>
    <t>Crédito</t>
  </si>
  <si>
    <t>plantas</t>
  </si>
  <si>
    <t>fruta</t>
  </si>
  <si>
    <t>cant.</t>
  </si>
  <si>
    <t>Maquinaria y equipo</t>
  </si>
  <si>
    <t>Bomba</t>
  </si>
  <si>
    <t>Herramientas</t>
  </si>
  <si>
    <t>Mobiliario y equipo de oficina</t>
  </si>
  <si>
    <t>Archivadores</t>
  </si>
  <si>
    <t>Equipo tecnológico</t>
  </si>
  <si>
    <t>Computadora</t>
  </si>
  <si>
    <t>Derecho de constitución</t>
  </si>
  <si>
    <t>Gastps de puesta en marcha</t>
  </si>
  <si>
    <t xml:space="preserve"> Alambre galvanizado</t>
  </si>
  <si>
    <t>Guantes de cuero</t>
  </si>
  <si>
    <t xml:space="preserve">Canastas </t>
  </si>
  <si>
    <t>Resumen de costos y gastos anuales</t>
  </si>
  <si>
    <t xml:space="preserve">Depreciación </t>
  </si>
  <si>
    <t>Material de oficina</t>
  </si>
  <si>
    <t>DESCRIPCION</t>
  </si>
  <si>
    <t>VALOR</t>
  </si>
  <si>
    <t>UNIT.</t>
  </si>
  <si>
    <t>PARCIAL</t>
  </si>
  <si>
    <t>UN.</t>
  </si>
  <si>
    <t>MED.</t>
  </si>
  <si>
    <t>COSTO TOTAL</t>
  </si>
  <si>
    <t>COSTO</t>
  </si>
  <si>
    <t>PERIODO</t>
  </si>
  <si>
    <t>SALDO INICIAL</t>
  </si>
  <si>
    <t>INTERES</t>
  </si>
  <si>
    <t>CAPITAL</t>
  </si>
  <si>
    <t>SALDO FINAL</t>
  </si>
  <si>
    <t>CUOTA</t>
  </si>
  <si>
    <t>UN. DE MED.</t>
  </si>
  <si>
    <t>ANUAL</t>
  </si>
  <si>
    <t>N. DE PER.</t>
  </si>
  <si>
    <t>CARGO</t>
  </si>
  <si>
    <t>MENSUAL</t>
  </si>
  <si>
    <t>VALOR ANUAL</t>
  </si>
  <si>
    <t>GASTO MENSUAL</t>
  </si>
  <si>
    <t>GASTO ANUAL</t>
  </si>
  <si>
    <t>GASTO DIARIO</t>
  </si>
  <si>
    <t>Gastos indirectos de fabricación</t>
  </si>
  <si>
    <t>Gastos adminis. y operación</t>
  </si>
  <si>
    <t>Gastos de ventas</t>
  </si>
  <si>
    <t>utilidad</t>
  </si>
  <si>
    <t>Depreciables</t>
  </si>
  <si>
    <t>No depreciables</t>
  </si>
  <si>
    <t>Depreciación</t>
  </si>
  <si>
    <t>DE EFECT.</t>
  </si>
  <si>
    <t>DEPRECIACION</t>
  </si>
  <si>
    <t>PROMEDIO</t>
  </si>
  <si>
    <t xml:space="preserve">ENTRADA </t>
  </si>
  <si>
    <t>RELACION COSTO BENEFICIO</t>
  </si>
  <si>
    <t>UTILIDAD PROM.</t>
  </si>
  <si>
    <t>Utilidad neta antes imp renta</t>
  </si>
  <si>
    <t>Utilidad antes part. trab.</t>
  </si>
  <si>
    <t>Utilidad  neta</t>
  </si>
  <si>
    <t>UTILIDAD NETA</t>
  </si>
  <si>
    <t>ENTRADA EFECTIVO</t>
  </si>
  <si>
    <t>CÁLCULO DEL VAN</t>
  </si>
  <si>
    <t>Inversión Inicial</t>
  </si>
  <si>
    <t>FL NETOS</t>
  </si>
  <si>
    <t xml:space="preserve">Flujos Netos </t>
  </si>
  <si>
    <t>Flujos Actual.</t>
  </si>
  <si>
    <t>Año 0</t>
  </si>
  <si>
    <t xml:space="preserve">VAN </t>
  </si>
  <si>
    <t>VAN</t>
  </si>
  <si>
    <t>tir</t>
  </si>
  <si>
    <t xml:space="preserve">CÁLCULO DE LA TIR </t>
  </si>
  <si>
    <t>Flujos 25%</t>
  </si>
  <si>
    <t xml:space="preserve">Flujos 48% </t>
  </si>
  <si>
    <t>Flujos 50%</t>
  </si>
  <si>
    <t>INVERSION FIJA</t>
  </si>
  <si>
    <t>M = 1-(1,18)^-5 / 0,18</t>
  </si>
  <si>
    <t>M = 3,127171021</t>
  </si>
  <si>
    <t>18162,84 / 3,127171021 = 5808,07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</si>
</sst>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1"/>
      <color indexed="8"/>
      <name val="Times New Roman"/>
      <family val="1"/>
    </font>
    <font>
      <sz val="10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43" fontId="3" fillId="0" borderId="2" xfId="1" applyFont="1" applyBorder="1" applyAlignment="1">
      <alignment horizontal="right" vertical="top" wrapText="1"/>
    </xf>
    <xf numFmtId="0" fontId="0" fillId="0" borderId="5" xfId="0" applyBorder="1"/>
    <xf numFmtId="43" fontId="3" fillId="0" borderId="5" xfId="1" applyFont="1" applyBorder="1" applyAlignment="1">
      <alignment horizontal="righ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43" fontId="2" fillId="0" borderId="5" xfId="1" applyFont="1" applyBorder="1" applyAlignment="1">
      <alignment horizontal="right" vertical="top" wrapText="1"/>
    </xf>
    <xf numFmtId="0" fontId="3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/>
    <xf numFmtId="3" fontId="2" fillId="0" borderId="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0" fillId="0" borderId="2" xfId="0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0" fontId="3" fillId="0" borderId="10" xfId="0" applyFont="1" applyBorder="1" applyAlignment="1">
      <alignment vertical="top" wrapText="1"/>
    </xf>
    <xf numFmtId="0" fontId="4" fillId="0" borderId="5" xfId="0" applyFont="1" applyBorder="1"/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4" fontId="2" fillId="0" borderId="4" xfId="0" applyNumberFormat="1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left"/>
    </xf>
    <xf numFmtId="2" fontId="2" fillId="0" borderId="5" xfId="0" applyNumberFormat="1" applyFont="1" applyBorder="1" applyAlignment="1">
      <alignment horizontal="right" vertical="top" wrapText="1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4" fontId="3" fillId="0" borderId="5" xfId="1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 wrapText="1"/>
    </xf>
    <xf numFmtId="2" fontId="2" fillId="0" borderId="2" xfId="0" applyNumberFormat="1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2" fontId="2" fillId="0" borderId="5" xfId="0" applyNumberFormat="1" applyFont="1" applyBorder="1" applyAlignment="1">
      <alignment horizontal="right" vertical="top" wrapText="1"/>
    </xf>
    <xf numFmtId="0" fontId="3" fillId="0" borderId="5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43" fontId="2" fillId="0" borderId="10" xfId="1" applyFont="1" applyBorder="1" applyAlignment="1">
      <alignment horizontal="right" vertical="top" wrapText="1"/>
    </xf>
    <xf numFmtId="43" fontId="3" fillId="0" borderId="10" xfId="1" applyFont="1" applyBorder="1" applyAlignment="1">
      <alignment horizontal="right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43" fontId="0" fillId="0" borderId="5" xfId="1" applyFont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center" vertical="top" wrapText="1"/>
    </xf>
    <xf numFmtId="3" fontId="2" fillId="0" borderId="5" xfId="0" applyNumberFormat="1" applyFont="1" applyBorder="1" applyAlignment="1">
      <alignment horizontal="right" vertical="top" wrapText="1"/>
    </xf>
    <xf numFmtId="0" fontId="0" fillId="0" borderId="5" xfId="0" applyBorder="1" applyAlignment="1">
      <alignment vertical="top" wrapText="1"/>
    </xf>
    <xf numFmtId="0" fontId="2" fillId="0" borderId="9" xfId="0" applyFont="1" applyBorder="1" applyAlignment="1">
      <alignment horizontal="left" vertical="top" wrapText="1"/>
    </xf>
    <xf numFmtId="43" fontId="3" fillId="0" borderId="5" xfId="1" applyFont="1" applyBorder="1"/>
    <xf numFmtId="2" fontId="0" fillId="0" borderId="5" xfId="0" applyNumberFormat="1" applyBorder="1" applyAlignment="1">
      <alignment horizontal="right" vertical="top" wrapText="1"/>
    </xf>
    <xf numFmtId="2" fontId="2" fillId="0" borderId="5" xfId="0" applyNumberFormat="1" applyFont="1" applyBorder="1" applyAlignment="1">
      <alignment horizontal="right" vertical="top" wrapText="1"/>
    </xf>
    <xf numFmtId="0" fontId="3" fillId="0" borderId="8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right" vertical="top" wrapText="1"/>
    </xf>
    <xf numFmtId="43" fontId="4" fillId="0" borderId="5" xfId="1" applyFont="1" applyBorder="1" applyAlignment="1">
      <alignment horizontal="right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right" vertical="top" wrapText="1"/>
    </xf>
    <xf numFmtId="0" fontId="7" fillId="0" borderId="5" xfId="0" applyFont="1" applyBorder="1" applyAlignment="1">
      <alignment horizontal="center" vertical="top" wrapText="1"/>
    </xf>
    <xf numFmtId="3" fontId="8" fillId="0" borderId="5" xfId="0" applyNumberFormat="1" applyFont="1" applyBorder="1" applyAlignment="1">
      <alignment horizontal="right" vertical="top" wrapText="1"/>
    </xf>
    <xf numFmtId="2" fontId="0" fillId="0" borderId="5" xfId="0" applyNumberFormat="1" applyBorder="1"/>
    <xf numFmtId="4" fontId="3" fillId="0" borderId="5" xfId="0" applyNumberFormat="1" applyFont="1" applyBorder="1"/>
    <xf numFmtId="4" fontId="3" fillId="0" borderId="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/>
    </xf>
    <xf numFmtId="4" fontId="2" fillId="0" borderId="5" xfId="0" applyNumberFormat="1" applyFont="1" applyBorder="1"/>
    <xf numFmtId="0" fontId="3" fillId="0" borderId="5" xfId="0" applyFont="1" applyBorder="1"/>
    <xf numFmtId="0" fontId="0" fillId="0" borderId="0" xfId="0" applyNumberFormat="1"/>
    <xf numFmtId="2" fontId="0" fillId="0" borderId="0" xfId="0" applyNumberFormat="1"/>
    <xf numFmtId="0" fontId="3" fillId="0" borderId="8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2" fontId="3" fillId="0" borderId="5" xfId="0" applyNumberFormat="1" applyFont="1" applyBorder="1"/>
    <xf numFmtId="2" fontId="2" fillId="0" borderId="5" xfId="0" applyNumberFormat="1" applyFont="1" applyBorder="1"/>
    <xf numFmtId="0" fontId="6" fillId="0" borderId="0" xfId="0" applyFont="1"/>
    <xf numFmtId="0" fontId="2" fillId="0" borderId="5" xfId="0" applyFont="1" applyBorder="1" applyAlignment="1">
      <alignment horizontal="center"/>
    </xf>
    <xf numFmtId="0" fontId="9" fillId="0" borderId="0" xfId="0" applyFont="1" applyAlignment="1" applyProtection="1">
      <alignment horizontal="left"/>
    </xf>
    <xf numFmtId="39" fontId="2" fillId="0" borderId="0" xfId="0" applyNumberFormat="1" applyFont="1" applyProtection="1"/>
    <xf numFmtId="0" fontId="2" fillId="0" borderId="0" xfId="0" applyFont="1" applyAlignment="1" applyProtection="1">
      <alignment horizontal="left"/>
    </xf>
    <xf numFmtId="37" fontId="2" fillId="0" borderId="0" xfId="0" applyNumberFormat="1" applyFont="1" applyProtection="1"/>
    <xf numFmtId="0" fontId="2" fillId="0" borderId="0" xfId="0" applyFont="1" applyProtection="1"/>
    <xf numFmtId="0" fontId="3" fillId="0" borderId="5" xfId="0" applyFont="1" applyBorder="1" applyAlignment="1" applyProtection="1">
      <alignment horizontal="center"/>
    </xf>
    <xf numFmtId="37" fontId="2" fillId="0" borderId="5" xfId="0" applyNumberFormat="1" applyFont="1" applyBorder="1" applyProtection="1"/>
    <xf numFmtId="39" fontId="2" fillId="0" borderId="5" xfId="0" applyNumberFormat="1" applyFont="1" applyBorder="1" applyProtection="1"/>
    <xf numFmtId="39" fontId="2" fillId="0" borderId="5" xfId="0" applyNumberFormat="1" applyFont="1" applyBorder="1"/>
    <xf numFmtId="2" fontId="2" fillId="0" borderId="0" xfId="0" applyNumberFormat="1" applyFont="1" applyProtection="1"/>
    <xf numFmtId="2" fontId="2" fillId="0" borderId="0" xfId="0" applyNumberFormat="1" applyFont="1"/>
    <xf numFmtId="43" fontId="2" fillId="0" borderId="5" xfId="1" applyFont="1" applyBorder="1"/>
    <xf numFmtId="0" fontId="2" fillId="0" borderId="0" xfId="0" applyFont="1" applyBorder="1" applyAlignment="1">
      <alignment horizontal="left"/>
    </xf>
    <xf numFmtId="4" fontId="2" fillId="0" borderId="5" xfId="0" applyNumberFormat="1" applyFont="1" applyBorder="1" applyAlignment="1">
      <alignment horizontal="right"/>
    </xf>
    <xf numFmtId="0" fontId="3" fillId="0" borderId="5" xfId="0" applyFont="1" applyFill="1" applyBorder="1" applyAlignment="1">
      <alignment horizontal="center" vertical="top" wrapText="1"/>
    </xf>
    <xf numFmtId="4" fontId="0" fillId="0" borderId="0" xfId="0" applyNumberFormat="1"/>
    <xf numFmtId="4" fontId="4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" fontId="0" fillId="0" borderId="5" xfId="0" applyNumberFormat="1" applyBorder="1"/>
    <xf numFmtId="43" fontId="0" fillId="0" borderId="0" xfId="1" applyFont="1"/>
    <xf numFmtId="4" fontId="2" fillId="0" borderId="0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/>
    <xf numFmtId="43" fontId="4" fillId="0" borderId="5" xfId="1" applyFont="1" applyBorder="1" applyAlignment="1"/>
    <xf numFmtId="43" fontId="4" fillId="0" borderId="5" xfId="1" applyFont="1" applyBorder="1"/>
    <xf numFmtId="4" fontId="0" fillId="0" borderId="0" xfId="0" applyNumberFormat="1" applyBorder="1"/>
    <xf numFmtId="0" fontId="0" fillId="0" borderId="0" xfId="0" applyBorder="1"/>
    <xf numFmtId="4" fontId="0" fillId="0" borderId="17" xfId="0" applyNumberFormat="1" applyBorder="1"/>
    <xf numFmtId="4" fontId="10" fillId="0" borderId="18" xfId="0" applyNumberFormat="1" applyFont="1" applyBorder="1" applyAlignment="1">
      <alignment horizontal="center"/>
    </xf>
    <xf numFmtId="4" fontId="10" fillId="0" borderId="19" xfId="0" applyNumberFormat="1" applyFont="1" applyBorder="1" applyAlignment="1">
      <alignment horizontal="center"/>
    </xf>
    <xf numFmtId="4" fontId="11" fillId="0" borderId="20" xfId="0" applyNumberFormat="1" applyFont="1" applyBorder="1" applyAlignment="1">
      <alignment horizontal="center"/>
    </xf>
    <xf numFmtId="4" fontId="11" fillId="0" borderId="5" xfId="0" applyNumberFormat="1" applyFont="1" applyBorder="1" applyAlignment="1">
      <alignment horizontal="center"/>
    </xf>
    <xf numFmtId="4" fontId="12" fillId="0" borderId="5" xfId="0" applyNumberFormat="1" applyFont="1" applyBorder="1"/>
    <xf numFmtId="4" fontId="11" fillId="0" borderId="21" xfId="0" applyNumberFormat="1" applyFont="1" applyBorder="1" applyAlignment="1">
      <alignment horizontal="center"/>
    </xf>
    <xf numFmtId="4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" fontId="13" fillId="0" borderId="5" xfId="0" applyNumberFormat="1" applyFont="1" applyBorder="1" applyAlignment="1">
      <alignment horizontal="center"/>
    </xf>
    <xf numFmtId="4" fontId="14" fillId="0" borderId="5" xfId="0" applyNumberFormat="1" applyFont="1" applyBorder="1"/>
    <xf numFmtId="4" fontId="11" fillId="0" borderId="20" xfId="0" applyNumberFormat="1" applyFont="1" applyFill="1" applyBorder="1" applyAlignment="1">
      <alignment horizontal="center"/>
    </xf>
    <xf numFmtId="4" fontId="0" fillId="0" borderId="20" xfId="0" applyNumberFormat="1" applyBorder="1"/>
    <xf numFmtId="9" fontId="0" fillId="2" borderId="6" xfId="0" applyNumberFormat="1" applyFill="1" applyBorder="1" applyAlignment="1">
      <alignment horizontal="center"/>
    </xf>
    <xf numFmtId="0" fontId="15" fillId="0" borderId="0" xfId="0" applyFont="1" applyBorder="1"/>
    <xf numFmtId="4" fontId="0" fillId="0" borderId="22" xfId="0" applyNumberFormat="1" applyBorder="1"/>
    <xf numFmtId="4" fontId="11" fillId="0" borderId="23" xfId="0" applyNumberFormat="1" applyFont="1" applyBorder="1"/>
    <xf numFmtId="4" fontId="0" fillId="0" borderId="23" xfId="0" applyNumberFormat="1" applyBorder="1"/>
    <xf numFmtId="4" fontId="0" fillId="0" borderId="24" xfId="0" applyNumberFormat="1" applyBorder="1"/>
    <xf numFmtId="4" fontId="11" fillId="0" borderId="0" xfId="0" applyNumberFormat="1" applyFont="1" applyBorder="1"/>
    <xf numFmtId="4" fontId="16" fillId="0" borderId="0" xfId="0" applyNumberFormat="1" applyFont="1" applyBorder="1" applyAlignment="1"/>
    <xf numFmtId="0" fontId="16" fillId="0" borderId="0" xfId="0" applyFont="1" applyBorder="1" applyAlignment="1"/>
    <xf numFmtId="4" fontId="11" fillId="0" borderId="17" xfId="0" applyNumberFormat="1" applyFont="1" applyBorder="1" applyAlignment="1">
      <alignment horizontal="center"/>
    </xf>
    <xf numFmtId="4" fontId="11" fillId="0" borderId="18" xfId="0" applyNumberFormat="1" applyFont="1" applyBorder="1" applyAlignment="1">
      <alignment horizontal="center"/>
    </xf>
    <xf numFmtId="4" fontId="11" fillId="0" borderId="19" xfId="0" applyNumberFormat="1" applyFont="1" applyBorder="1" applyAlignment="1">
      <alignment horizontal="center"/>
    </xf>
    <xf numFmtId="4" fontId="13" fillId="0" borderId="20" xfId="0" applyNumberFormat="1" applyFont="1" applyBorder="1" applyAlignment="1">
      <alignment horizontal="center"/>
    </xf>
    <xf numFmtId="4" fontId="17" fillId="0" borderId="0" xfId="0" applyNumberFormat="1" applyFont="1" applyBorder="1"/>
    <xf numFmtId="0" fontId="17" fillId="0" borderId="0" xfId="0" applyFont="1" applyBorder="1"/>
    <xf numFmtId="4" fontId="18" fillId="0" borderId="0" xfId="0" applyNumberFormat="1" applyFont="1" applyBorder="1"/>
    <xf numFmtId="0" fontId="18" fillId="0" borderId="0" xfId="0" applyFont="1" applyBorder="1"/>
    <xf numFmtId="2" fontId="13" fillId="0" borderId="20" xfId="0" applyNumberFormat="1" applyFont="1" applyBorder="1"/>
    <xf numFmtId="2" fontId="18" fillId="0" borderId="0" xfId="0" applyNumberFormat="1" applyFont="1" applyBorder="1"/>
    <xf numFmtId="4" fontId="17" fillId="0" borderId="22" xfId="0" applyNumberFormat="1" applyFont="1" applyBorder="1"/>
    <xf numFmtId="4" fontId="18" fillId="0" borderId="23" xfId="0" applyNumberFormat="1" applyFont="1" applyBorder="1"/>
    <xf numFmtId="4" fontId="17" fillId="0" borderId="23" xfId="0" applyNumberFormat="1" applyFont="1" applyBorder="1"/>
    <xf numFmtId="4" fontId="17" fillId="0" borderId="24" xfId="0" applyNumberFormat="1" applyFont="1" applyBorder="1"/>
    <xf numFmtId="43" fontId="0" fillId="0" borderId="5" xfId="1" applyFont="1" applyBorder="1" applyAlignment="1">
      <alignment horizontal="right"/>
    </xf>
    <xf numFmtId="43" fontId="14" fillId="0" borderId="21" xfId="1" applyFont="1" applyBorder="1" applyAlignment="1">
      <alignment horizontal="right"/>
    </xf>
    <xf numFmtId="43" fontId="0" fillId="0" borderId="21" xfId="1" applyFont="1" applyBorder="1" applyAlignment="1">
      <alignment horizontal="right"/>
    </xf>
    <xf numFmtId="43" fontId="13" fillId="0" borderId="5" xfId="1" applyFont="1" applyBorder="1" applyAlignment="1">
      <alignment horizontal="right"/>
    </xf>
    <xf numFmtId="43" fontId="14" fillId="0" borderId="5" xfId="1" applyFont="1" applyBorder="1" applyAlignment="1">
      <alignment horizontal="right"/>
    </xf>
    <xf numFmtId="43" fontId="15" fillId="0" borderId="5" xfId="1" applyFont="1" applyBorder="1" applyAlignment="1">
      <alignment horizontal="right"/>
    </xf>
    <xf numFmtId="43" fontId="15" fillId="0" borderId="21" xfId="1" applyFont="1" applyBorder="1" applyAlignment="1">
      <alignment horizontal="right"/>
    </xf>
    <xf numFmtId="43" fontId="10" fillId="0" borderId="5" xfId="1" applyFont="1" applyBorder="1" applyAlignment="1">
      <alignment horizontal="right"/>
    </xf>
    <xf numFmtId="43" fontId="11" fillId="0" borderId="5" xfId="1" applyFont="1" applyBorder="1" applyAlignment="1">
      <alignment horizontal="right"/>
    </xf>
    <xf numFmtId="43" fontId="11" fillId="0" borderId="21" xfId="1" applyFont="1" applyBorder="1" applyAlignment="1">
      <alignment horizontal="right"/>
    </xf>
    <xf numFmtId="2" fontId="0" fillId="0" borderId="21" xfId="1" applyNumberFormat="1" applyFont="1" applyBorder="1" applyAlignment="1">
      <alignment horizontal="right"/>
    </xf>
    <xf numFmtId="0" fontId="3" fillId="0" borderId="8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4" fontId="10" fillId="0" borderId="15" xfId="0" applyNumberFormat="1" applyFont="1" applyBorder="1" applyAlignment="1">
      <alignment horizontal="center"/>
    </xf>
    <xf numFmtId="4" fontId="10" fillId="0" borderId="16" xfId="0" applyNumberFormat="1" applyFont="1" applyBorder="1" applyAlignment="1">
      <alignment horizontal="center"/>
    </xf>
    <xf numFmtId="4" fontId="10" fillId="0" borderId="7" xfId="0" applyNumberFormat="1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4" fillId="0" borderId="0" xfId="0" applyFont="1"/>
    <xf numFmtId="37" fontId="19" fillId="0" borderId="0" xfId="0" applyNumberFormat="1" applyFont="1" applyProtection="1"/>
    <xf numFmtId="2" fontId="19" fillId="0" borderId="0" xfId="0" applyNumberFormat="1" applyFont="1" applyProtection="1"/>
    <xf numFmtId="0" fontId="19" fillId="0" borderId="0" xfId="0" applyFont="1"/>
    <xf numFmtId="0" fontId="19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8"/>
  <sheetViews>
    <sheetView workbookViewId="0">
      <selection activeCell="E4" sqref="E4"/>
    </sheetView>
  </sheetViews>
  <sheetFormatPr baseColWidth="10" defaultRowHeight="15"/>
  <cols>
    <col min="2" max="2" width="13.28515625" customWidth="1"/>
    <col min="3" max="3" width="13.5703125" customWidth="1"/>
    <col min="5" max="5" width="18.42578125" customWidth="1"/>
  </cols>
  <sheetData>
    <row r="3" spans="1:5" ht="31.5" customHeight="1">
      <c r="A3" s="74" t="s">
        <v>141</v>
      </c>
      <c r="B3" s="74" t="s">
        <v>142</v>
      </c>
      <c r="C3" s="74" t="s">
        <v>143</v>
      </c>
      <c r="D3" s="74" t="s">
        <v>42</v>
      </c>
      <c r="E3" s="74" t="s">
        <v>144</v>
      </c>
    </row>
    <row r="4" spans="1:5" ht="15.75">
      <c r="A4" s="73">
        <v>2004</v>
      </c>
      <c r="B4" s="62">
        <v>356148</v>
      </c>
      <c r="C4" s="62">
        <v>315472</v>
      </c>
      <c r="D4" s="76">
        <f>(C4*100)/B4</f>
        <v>88.578905398879115</v>
      </c>
      <c r="E4" s="75">
        <f>(B4-C4)</f>
        <v>40676</v>
      </c>
    </row>
    <row r="5" spans="1:5" ht="15.75">
      <c r="A5" s="73">
        <v>2005</v>
      </c>
      <c r="B5" s="62">
        <v>394296</v>
      </c>
      <c r="C5" s="62">
        <v>347285</v>
      </c>
      <c r="D5" s="76">
        <f t="shared" ref="D5:D8" si="0">(C5*100)/B5</f>
        <v>88.077231318603282</v>
      </c>
      <c r="E5" s="75">
        <f t="shared" ref="E5:E8" si="1">(B5-C5)</f>
        <v>47011</v>
      </c>
    </row>
    <row r="6" spans="1:5" ht="15.75">
      <c r="A6" s="73">
        <v>2006</v>
      </c>
      <c r="B6" s="62">
        <v>422616</v>
      </c>
      <c r="C6" s="62">
        <v>398500</v>
      </c>
      <c r="D6" s="76">
        <f t="shared" si="0"/>
        <v>94.293637723133997</v>
      </c>
      <c r="E6" s="75">
        <f t="shared" si="1"/>
        <v>24116</v>
      </c>
    </row>
    <row r="7" spans="1:5" ht="15.75">
      <c r="A7" s="73">
        <v>2007</v>
      </c>
      <c r="B7" s="62">
        <v>471111</v>
      </c>
      <c r="C7" s="62">
        <v>421316</v>
      </c>
      <c r="D7" s="76">
        <f t="shared" si="0"/>
        <v>89.430304110920787</v>
      </c>
      <c r="E7" s="75">
        <f t="shared" si="1"/>
        <v>49795</v>
      </c>
    </row>
    <row r="8" spans="1:5" ht="15.75">
      <c r="A8" s="73">
        <v>2008</v>
      </c>
      <c r="B8" s="62">
        <v>519785</v>
      </c>
      <c r="C8" s="62">
        <v>455420</v>
      </c>
      <c r="D8" s="76">
        <f t="shared" si="0"/>
        <v>87.616995488519294</v>
      </c>
      <c r="E8" s="75">
        <f t="shared" si="1"/>
        <v>64365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A3" sqref="A3:D8"/>
    </sheetView>
  </sheetViews>
  <sheetFormatPr baseColWidth="10" defaultRowHeight="15"/>
  <cols>
    <col min="1" max="1" width="34.5703125" customWidth="1"/>
    <col min="2" max="2" width="17.7109375" customWidth="1"/>
    <col min="3" max="3" width="0" hidden="1" customWidth="1"/>
  </cols>
  <sheetData>
    <row r="2" spans="1:4" ht="15.75">
      <c r="A2" s="1" t="s">
        <v>54</v>
      </c>
    </row>
    <row r="3" spans="1:4" ht="31.5">
      <c r="A3" s="46" t="s">
        <v>96</v>
      </c>
      <c r="B3" s="85" t="s">
        <v>193</v>
      </c>
      <c r="C3" s="56" t="s">
        <v>55</v>
      </c>
      <c r="D3" s="85" t="s">
        <v>194</v>
      </c>
    </row>
    <row r="4" spans="1:4" ht="15.75">
      <c r="A4" s="10" t="s">
        <v>57</v>
      </c>
      <c r="B4" s="11"/>
      <c r="C4" s="11">
        <v>397.01</v>
      </c>
      <c r="D4" s="21">
        <f>(DEPRES.!D9)</f>
        <v>1359.3810000000001</v>
      </c>
    </row>
    <row r="5" spans="1:4" ht="15.75">
      <c r="A5" s="10" t="s">
        <v>56</v>
      </c>
      <c r="B5" s="11">
        <v>90</v>
      </c>
      <c r="C5" s="16">
        <v>1080</v>
      </c>
      <c r="D5" s="21">
        <f>(B5*12)</f>
        <v>1080</v>
      </c>
    </row>
    <row r="6" spans="1:4" ht="15.75">
      <c r="A6" s="10" t="s">
        <v>172</v>
      </c>
      <c r="B6" s="11">
        <v>40</v>
      </c>
      <c r="C6" s="11">
        <v>480</v>
      </c>
      <c r="D6" s="21">
        <f>(B6*12)</f>
        <v>480</v>
      </c>
    </row>
    <row r="7" spans="1:4" ht="15.75">
      <c r="A7" s="10" t="s">
        <v>58</v>
      </c>
      <c r="B7" s="11"/>
      <c r="C7" s="11">
        <v>58.71</v>
      </c>
      <c r="D7" s="21">
        <f>SUM(D5:D6)*0.03</f>
        <v>46.8</v>
      </c>
    </row>
    <row r="8" spans="1:4" ht="15.75">
      <c r="A8" s="46" t="s">
        <v>12</v>
      </c>
      <c r="B8" s="46"/>
      <c r="C8" s="72">
        <v>2015.72</v>
      </c>
      <c r="D8" s="78">
        <f>SUM(D4:D7)</f>
        <v>2966.1810000000005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D7"/>
  <sheetViews>
    <sheetView workbookViewId="0">
      <selection activeCell="D6" sqref="D6"/>
    </sheetView>
  </sheetViews>
  <sheetFormatPr baseColWidth="10" defaultRowHeight="15"/>
  <cols>
    <col min="1" max="1" width="24.140625" customWidth="1"/>
    <col min="2" max="3" width="12.28515625" customWidth="1"/>
  </cols>
  <sheetData>
    <row r="2" spans="1:4" ht="15.75">
      <c r="A2" s="1" t="s">
        <v>59</v>
      </c>
    </row>
    <row r="3" spans="1:4" ht="36" customHeight="1">
      <c r="A3" s="46" t="s">
        <v>96</v>
      </c>
      <c r="B3" s="46" t="s">
        <v>195</v>
      </c>
      <c r="C3" s="46" t="s">
        <v>193</v>
      </c>
      <c r="D3" s="46" t="s">
        <v>194</v>
      </c>
    </row>
    <row r="4" spans="1:4" ht="15.75">
      <c r="A4" s="10" t="s">
        <v>128</v>
      </c>
      <c r="B4" s="50">
        <v>5</v>
      </c>
      <c r="C4" s="50">
        <f>(B4*20)</f>
        <v>100</v>
      </c>
      <c r="D4" s="12">
        <f>(C4*12)</f>
        <v>1200</v>
      </c>
    </row>
    <row r="5" spans="1:4" ht="15.75">
      <c r="A5" s="10" t="s">
        <v>130</v>
      </c>
      <c r="B5" s="50">
        <v>3</v>
      </c>
      <c r="C5" s="50">
        <f>(B5*20)</f>
        <v>60</v>
      </c>
      <c r="D5" s="12">
        <f>(C5*12)</f>
        <v>720</v>
      </c>
    </row>
    <row r="6" spans="1:4" ht="15.75">
      <c r="A6" s="10" t="s">
        <v>58</v>
      </c>
      <c r="B6" s="66"/>
      <c r="C6" s="50"/>
      <c r="D6" s="12">
        <f>SUM(D4+D5)*0.03</f>
        <v>57.599999999999994</v>
      </c>
    </row>
    <row r="7" spans="1:4" ht="15.75">
      <c r="A7" s="46" t="s">
        <v>12</v>
      </c>
      <c r="B7" s="69"/>
      <c r="C7" s="48"/>
      <c r="D7" s="70">
        <f>SUM(D4:D6)</f>
        <v>1977.6</v>
      </c>
    </row>
  </sheetData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C8"/>
  <sheetViews>
    <sheetView workbookViewId="0">
      <selection activeCell="C6" sqref="C6"/>
    </sheetView>
  </sheetViews>
  <sheetFormatPr baseColWidth="10" defaultRowHeight="15"/>
  <cols>
    <col min="1" max="1" width="25.140625" customWidth="1"/>
    <col min="2" max="2" width="12.85546875" customWidth="1"/>
    <col min="3" max="3" width="14.85546875" customWidth="1"/>
  </cols>
  <sheetData>
    <row r="2" spans="1:3" ht="16.5" thickBot="1">
      <c r="A2" s="1" t="s">
        <v>60</v>
      </c>
    </row>
    <row r="3" spans="1:3" ht="32.25" thickBot="1">
      <c r="A3" s="29" t="s">
        <v>96</v>
      </c>
      <c r="B3" s="30" t="s">
        <v>193</v>
      </c>
      <c r="C3" s="30" t="s">
        <v>194</v>
      </c>
    </row>
    <row r="4" spans="1:3" ht="15.75">
      <c r="A4" s="6" t="s">
        <v>61</v>
      </c>
      <c r="B4" s="5">
        <v>100</v>
      </c>
      <c r="C4" s="32">
        <f>(B4*12)</f>
        <v>1200</v>
      </c>
    </row>
    <row r="5" spans="1:3" ht="15.75">
      <c r="A5" s="6" t="s">
        <v>62</v>
      </c>
      <c r="B5" s="5">
        <v>50</v>
      </c>
      <c r="C5" s="32">
        <f>(B5*12)</f>
        <v>600</v>
      </c>
    </row>
    <row r="6" spans="1:3" ht="15.75">
      <c r="A6" s="6" t="s">
        <v>58</v>
      </c>
      <c r="B6" s="5"/>
      <c r="C6" s="32">
        <f>SUM(C4+C5)*0.03</f>
        <v>54</v>
      </c>
    </row>
    <row r="7" spans="1:3" ht="16.5" thickBot="1">
      <c r="A7" s="31"/>
      <c r="B7" s="24"/>
      <c r="C7" s="19"/>
    </row>
    <row r="8" spans="1:3" ht="16.5" thickBot="1">
      <c r="A8" s="3" t="s">
        <v>12</v>
      </c>
      <c r="B8" s="4"/>
      <c r="C8" s="7">
        <f>SUM(C4:C7)</f>
        <v>1854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3:B7"/>
  <sheetViews>
    <sheetView workbookViewId="0">
      <selection activeCell="B4" sqref="B4"/>
    </sheetView>
  </sheetViews>
  <sheetFormatPr baseColWidth="10" defaultRowHeight="15"/>
  <cols>
    <col min="1" max="1" width="23.7109375" customWidth="1"/>
    <col min="2" max="2" width="17.28515625" customWidth="1"/>
  </cols>
  <sheetData>
    <row r="3" spans="1:2" ht="15.75">
      <c r="A3" s="1" t="s">
        <v>63</v>
      </c>
    </row>
    <row r="4" spans="1:2" ht="15.75">
      <c r="A4" s="46" t="s">
        <v>96</v>
      </c>
      <c r="B4" s="46" t="s">
        <v>194</v>
      </c>
    </row>
    <row r="5" spans="1:2" ht="15.75">
      <c r="A5" s="10" t="s">
        <v>64</v>
      </c>
      <c r="B5" s="71">
        <f>(AMORTIZACION!D9)</f>
        <v>2538.7625760640276</v>
      </c>
    </row>
    <row r="6" spans="1:2" ht="15.75">
      <c r="A6" s="10" t="s">
        <v>65</v>
      </c>
      <c r="B6" s="71">
        <f>(AMORTIZACION!C9)</f>
        <v>3269.3112000000001</v>
      </c>
    </row>
    <row r="7" spans="1:2" ht="15.75">
      <c r="A7" s="46" t="s">
        <v>12</v>
      </c>
      <c r="B7" s="72">
        <f>SUM(B5:B6)</f>
        <v>5808.0737760640277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3:C16"/>
  <sheetViews>
    <sheetView workbookViewId="0">
      <selection activeCell="C16" sqref="C16"/>
    </sheetView>
  </sheetViews>
  <sheetFormatPr baseColWidth="10" defaultRowHeight="15"/>
  <cols>
    <col min="1" max="1" width="31.85546875" customWidth="1"/>
    <col min="2" max="2" width="16.140625" customWidth="1"/>
    <col min="3" max="3" width="14.140625" customWidth="1"/>
  </cols>
  <sheetData>
    <row r="3" spans="1:3" ht="15.75">
      <c r="A3" s="87" t="s">
        <v>170</v>
      </c>
    </row>
    <row r="4" spans="1:3" ht="31.5">
      <c r="A4" s="20" t="s">
        <v>66</v>
      </c>
      <c r="B4" s="20" t="s">
        <v>67</v>
      </c>
      <c r="C4" s="20" t="s">
        <v>68</v>
      </c>
    </row>
    <row r="5" spans="1:3" ht="18" customHeight="1">
      <c r="A5" s="13" t="s">
        <v>139</v>
      </c>
      <c r="B5" s="33"/>
      <c r="C5" s="23">
        <f>(B6+B7+B8)</f>
        <v>13971.25</v>
      </c>
    </row>
    <row r="6" spans="1:3" ht="18" customHeight="1">
      <c r="A6" s="10" t="s">
        <v>69</v>
      </c>
      <c r="B6" s="21">
        <f>('COST. PRODU.'!F6)</f>
        <v>420</v>
      </c>
      <c r="C6" s="22"/>
    </row>
    <row r="7" spans="1:3" ht="18" customHeight="1">
      <c r="A7" s="10" t="s">
        <v>70</v>
      </c>
      <c r="B7" s="21">
        <f>('COST. PRODU.'!F8)</f>
        <v>12600</v>
      </c>
      <c r="C7" s="22"/>
    </row>
    <row r="8" spans="1:3" ht="18" customHeight="1">
      <c r="A8" s="10" t="s">
        <v>196</v>
      </c>
      <c r="B8" s="35">
        <f>('COST. PRODU.'!F11)</f>
        <v>951.25</v>
      </c>
      <c r="C8" s="22"/>
    </row>
    <row r="9" spans="1:3" ht="18" customHeight="1">
      <c r="A9" s="13" t="s">
        <v>140</v>
      </c>
      <c r="B9" s="33"/>
      <c r="C9" s="23">
        <f>(B10+B11+B12+B13+B14+B15)</f>
        <v>14405.873976064027</v>
      </c>
    </row>
    <row r="10" spans="1:3" ht="18" customHeight="1">
      <c r="A10" s="10" t="s">
        <v>72</v>
      </c>
      <c r="B10" s="21">
        <f>('MANO OBRA IND.'!F6)</f>
        <v>1800.0192000000002</v>
      </c>
      <c r="C10" s="22"/>
    </row>
    <row r="11" spans="1:3" ht="18" customHeight="1">
      <c r="A11" s="10" t="s">
        <v>73</v>
      </c>
      <c r="B11" s="21">
        <f>('GAST. ADM. OPERAC.'!D5+'GAST. ADM. OPERAC.'!D6+'GAST. ADM. OPERAC.'!D7)</f>
        <v>1606.8</v>
      </c>
      <c r="C11" s="22"/>
    </row>
    <row r="12" spans="1:3" ht="18" customHeight="1">
      <c r="A12" s="10" t="s">
        <v>59</v>
      </c>
      <c r="B12" s="21">
        <f>('GASTO VENTA'!D7)</f>
        <v>1977.6</v>
      </c>
      <c r="C12" s="22"/>
    </row>
    <row r="13" spans="1:3" ht="18" customHeight="1">
      <c r="A13" s="10" t="s">
        <v>74</v>
      </c>
      <c r="B13" s="21">
        <f>('G. PROM.  PUB.'!C8)</f>
        <v>1854</v>
      </c>
      <c r="C13" s="22"/>
    </row>
    <row r="14" spans="1:3" ht="18" customHeight="1">
      <c r="A14" s="10" t="s">
        <v>63</v>
      </c>
      <c r="B14" s="21">
        <f>('G. FINANC.'!B7)</f>
        <v>5808.0737760640277</v>
      </c>
      <c r="C14" s="22"/>
    </row>
    <row r="15" spans="1:3" ht="18" customHeight="1">
      <c r="A15" s="10" t="s">
        <v>171</v>
      </c>
      <c r="B15" s="12">
        <f>(DEPRES.!D9)</f>
        <v>1359.3810000000001</v>
      </c>
      <c r="C15" s="22"/>
    </row>
    <row r="16" spans="1:3" ht="18" customHeight="1">
      <c r="A16" s="20" t="s">
        <v>12</v>
      </c>
      <c r="B16" s="33"/>
      <c r="C16" s="23">
        <f>SUM(C5:C15)</f>
        <v>28377.123976064027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2:F24"/>
  <sheetViews>
    <sheetView topLeftCell="A13" workbookViewId="0">
      <selection activeCell="B35" sqref="B35"/>
    </sheetView>
  </sheetViews>
  <sheetFormatPr baseColWidth="10" defaultRowHeight="15"/>
  <cols>
    <col min="1" max="1" width="37.85546875" customWidth="1"/>
    <col min="2" max="2" width="16.85546875" customWidth="1"/>
    <col min="3" max="3" width="15.42578125" customWidth="1"/>
    <col min="4" max="4" width="15.140625" customWidth="1"/>
    <col min="5" max="5" width="13.7109375" customWidth="1"/>
    <col min="6" max="6" width="13.28515625" customWidth="1"/>
  </cols>
  <sheetData>
    <row r="2" spans="1:6" ht="15.75">
      <c r="A2" s="104" t="s">
        <v>75</v>
      </c>
    </row>
    <row r="3" spans="1:6" ht="15.75">
      <c r="A3" s="46" t="s">
        <v>66</v>
      </c>
      <c r="B3" s="46" t="s">
        <v>76</v>
      </c>
      <c r="C3" s="46" t="s">
        <v>77</v>
      </c>
      <c r="D3" s="46" t="s">
        <v>78</v>
      </c>
      <c r="E3" s="46" t="s">
        <v>79</v>
      </c>
      <c r="F3" s="46" t="s">
        <v>80</v>
      </c>
    </row>
    <row r="4" spans="1:6" ht="15.75">
      <c r="A4" s="46" t="s">
        <v>139</v>
      </c>
      <c r="B4" s="10"/>
      <c r="C4" s="10"/>
      <c r="D4" s="10"/>
      <c r="E4" s="10"/>
      <c r="F4" s="13"/>
    </row>
    <row r="5" spans="1:6" ht="15.75">
      <c r="A5" s="10" t="s">
        <v>69</v>
      </c>
      <c r="B5" s="21">
        <f>('COST. PRODU.'!F6)</f>
        <v>420</v>
      </c>
      <c r="C5" s="21"/>
      <c r="D5" s="21"/>
      <c r="E5" s="21"/>
      <c r="F5" s="21"/>
    </row>
    <row r="6" spans="1:6" ht="15.75">
      <c r="A6" s="10" t="s">
        <v>70</v>
      </c>
      <c r="B6" s="21">
        <f>('COST. PRODU.'!F8)</f>
        <v>12600</v>
      </c>
      <c r="C6" s="21">
        <f t="shared" ref="C6:C7" si="0">(B6*0.08)+B6</f>
        <v>13608</v>
      </c>
      <c r="D6" s="21">
        <f t="shared" ref="D6:F7" si="1">(C6*0.08)+C6</f>
        <v>14696.64</v>
      </c>
      <c r="E6" s="21">
        <f t="shared" si="1"/>
        <v>15872.3712</v>
      </c>
      <c r="F6" s="21">
        <f t="shared" si="1"/>
        <v>17142.160896000001</v>
      </c>
    </row>
    <row r="7" spans="1:6" ht="15.75">
      <c r="A7" s="10" t="s">
        <v>71</v>
      </c>
      <c r="B7" s="21">
        <f>('COST. PRODU.'!F11)</f>
        <v>951.25</v>
      </c>
      <c r="C7" s="21">
        <f t="shared" si="0"/>
        <v>1027.3499999999999</v>
      </c>
      <c r="D7" s="21">
        <f t="shared" si="1"/>
        <v>1109.538</v>
      </c>
      <c r="E7" s="21">
        <f t="shared" si="1"/>
        <v>1198.3010400000001</v>
      </c>
      <c r="F7" s="21">
        <f t="shared" si="1"/>
        <v>1294.1651232000002</v>
      </c>
    </row>
    <row r="8" spans="1:6" ht="15.75">
      <c r="A8" s="13" t="s">
        <v>81</v>
      </c>
      <c r="B8" s="23">
        <f>SUM(B5:B7)</f>
        <v>13971.25</v>
      </c>
      <c r="C8" s="23">
        <f>SUM(C5:C7)</f>
        <v>14635.35</v>
      </c>
      <c r="D8" s="23">
        <f>SUM(D5:D7)</f>
        <v>15806.178</v>
      </c>
      <c r="E8" s="23">
        <f>SUM(E5:E7)</f>
        <v>17070.67224</v>
      </c>
      <c r="F8" s="23">
        <f>SUM(F5:F7)</f>
        <v>18436.326019200002</v>
      </c>
    </row>
    <row r="9" spans="1:6" ht="15.75">
      <c r="A9" s="46" t="s">
        <v>140</v>
      </c>
      <c r="B9" s="21"/>
      <c r="C9" s="21"/>
      <c r="D9" s="21"/>
      <c r="E9" s="21"/>
      <c r="F9" s="23"/>
    </row>
    <row r="10" spans="1:6" ht="15.75">
      <c r="A10" s="13" t="s">
        <v>82</v>
      </c>
      <c r="B10" s="21"/>
      <c r="C10" s="21"/>
      <c r="D10" s="21"/>
      <c r="E10" s="21"/>
      <c r="F10" s="23"/>
    </row>
    <row r="11" spans="1:6" ht="15.75">
      <c r="A11" s="10" t="s">
        <v>72</v>
      </c>
      <c r="B11" s="21">
        <f>('MANO OBRA IND.'!F6)</f>
        <v>1800.0192000000002</v>
      </c>
      <c r="C11" s="21">
        <f>(B11*0.08)+B11</f>
        <v>1944.0207360000002</v>
      </c>
      <c r="D11" s="21">
        <f t="shared" ref="D11:F11" si="2">(C11*0.08)+C11</f>
        <v>2099.5423948800003</v>
      </c>
      <c r="E11" s="21">
        <f t="shared" si="2"/>
        <v>2267.5057864704004</v>
      </c>
      <c r="F11" s="21">
        <f t="shared" si="2"/>
        <v>2448.9062493880324</v>
      </c>
    </row>
    <row r="12" spans="1:6" ht="15.75">
      <c r="A12" s="10" t="s">
        <v>73</v>
      </c>
      <c r="B12" s="21">
        <f>('GAST. ADM. OPERAC.'!D5+'GAST. ADM. OPERAC.'!D6+'GAST. ADM. OPERAC.'!D7)</f>
        <v>1606.8</v>
      </c>
      <c r="C12" s="21">
        <f t="shared" ref="C12:F12" si="3">(B12*0.08)+B12</f>
        <v>1735.3440000000001</v>
      </c>
      <c r="D12" s="21">
        <f t="shared" si="3"/>
        <v>1874.1715200000001</v>
      </c>
      <c r="E12" s="21">
        <f t="shared" si="3"/>
        <v>2024.1052416000002</v>
      </c>
      <c r="F12" s="21">
        <f t="shared" si="3"/>
        <v>2186.0336609280002</v>
      </c>
    </row>
    <row r="13" spans="1:6" ht="15.75">
      <c r="A13" s="10" t="s">
        <v>171</v>
      </c>
      <c r="B13" s="21">
        <f>(DEPRES.!D9)</f>
        <v>1359.3810000000001</v>
      </c>
      <c r="C13" s="21">
        <f t="shared" ref="C13:F13" si="4">(B13*0.08)+B13</f>
        <v>1468.13148</v>
      </c>
      <c r="D13" s="21">
        <f t="shared" si="4"/>
        <v>1585.5819984</v>
      </c>
      <c r="E13" s="21">
        <f t="shared" si="4"/>
        <v>1712.4285582719999</v>
      </c>
      <c r="F13" s="21">
        <f t="shared" si="4"/>
        <v>1849.42284293376</v>
      </c>
    </row>
    <row r="14" spans="1:6" ht="15.75">
      <c r="A14" s="13" t="s">
        <v>83</v>
      </c>
      <c r="B14" s="23">
        <f>SUM(B11:B13)</f>
        <v>4766.2002000000002</v>
      </c>
      <c r="C14" s="23">
        <f>SUM(C11:C13)</f>
        <v>5147.4962160000005</v>
      </c>
      <c r="D14" s="23">
        <f>SUM(D11:D13)</f>
        <v>5559.2959132800006</v>
      </c>
      <c r="E14" s="23">
        <f>SUM(E11:E13)</f>
        <v>6004.0395863424001</v>
      </c>
      <c r="F14" s="23">
        <f>SUM(F11:F13)</f>
        <v>6484.3627532497921</v>
      </c>
    </row>
    <row r="15" spans="1:6" ht="15.75">
      <c r="A15" s="13" t="s">
        <v>84</v>
      </c>
      <c r="B15" s="21"/>
      <c r="C15" s="21"/>
      <c r="D15" s="21"/>
      <c r="E15" s="21"/>
      <c r="F15" s="23"/>
    </row>
    <row r="16" spans="1:6" ht="15.75">
      <c r="A16" s="10" t="s">
        <v>65</v>
      </c>
      <c r="B16" s="21">
        <f>(AMORTIZACION!C9)</f>
        <v>3269.3112000000001</v>
      </c>
      <c r="C16" s="21">
        <f>(AMORTIZACION!C10)</f>
        <v>2812.3339363084751</v>
      </c>
      <c r="D16" s="21">
        <f>(AMORTIZACION!C11)</f>
        <v>2273.1007651524756</v>
      </c>
      <c r="E16" s="21">
        <f>(AMORTIZACION!C12)</f>
        <v>1636.8056231883961</v>
      </c>
      <c r="F16" s="21">
        <f>(AMORTIZACION!C13)</f>
        <v>885.97735567078246</v>
      </c>
    </row>
    <row r="17" spans="1:6" ht="15.75">
      <c r="A17" s="10" t="s">
        <v>85</v>
      </c>
      <c r="B17" s="21">
        <f>('G. FINANC.'!B5)</f>
        <v>2538.7625760640276</v>
      </c>
      <c r="C17" s="21">
        <f>(AMORTIZACION!D10)</f>
        <v>2995.7398397555526</v>
      </c>
      <c r="D17" s="21">
        <f>(AMORTIZACION!D11)</f>
        <v>3534.9730109115521</v>
      </c>
      <c r="E17" s="21">
        <f>(AMORTIZACION!D12)</f>
        <v>4171.2681528756311</v>
      </c>
      <c r="F17" s="21">
        <f>(AMORTIZACION!D13)</f>
        <v>4922.0964203932454</v>
      </c>
    </row>
    <row r="18" spans="1:6" ht="15.75">
      <c r="A18" s="13" t="s">
        <v>86</v>
      </c>
      <c r="B18" s="23">
        <f>SUM(B16:B17)</f>
        <v>5808.0737760640277</v>
      </c>
      <c r="C18" s="23">
        <f>SUM(C16:C17)</f>
        <v>5808.0737760640277</v>
      </c>
      <c r="D18" s="23">
        <f>SUM(D16:D17)</f>
        <v>5808.0737760640277</v>
      </c>
      <c r="E18" s="23">
        <f>SUM(E16:E17)</f>
        <v>5808.0737760640277</v>
      </c>
      <c r="F18" s="23">
        <f>SUM(F16:F17)</f>
        <v>5808.0737760640277</v>
      </c>
    </row>
    <row r="19" spans="1:6" ht="15.75">
      <c r="A19" s="13" t="s">
        <v>87</v>
      </c>
      <c r="B19" s="21"/>
      <c r="C19" s="21"/>
      <c r="D19" s="21"/>
      <c r="E19" s="21"/>
      <c r="F19" s="23"/>
    </row>
    <row r="20" spans="1:6" ht="15.75">
      <c r="A20" s="10" t="s">
        <v>129</v>
      </c>
      <c r="B20" s="21">
        <f>('GASTO VENTA'!D7)</f>
        <v>1977.6</v>
      </c>
      <c r="C20" s="21">
        <f>(B20*0.08)+B20</f>
        <v>2135.808</v>
      </c>
      <c r="D20" s="21">
        <f t="shared" ref="D20:F20" si="5">(C20*0.08)+C20</f>
        <v>2306.6726399999998</v>
      </c>
      <c r="E20" s="21">
        <f t="shared" si="5"/>
        <v>2491.2064511999997</v>
      </c>
      <c r="F20" s="21">
        <f t="shared" si="5"/>
        <v>2690.5029672959995</v>
      </c>
    </row>
    <row r="21" spans="1:6" ht="15.75">
      <c r="A21" s="10" t="s">
        <v>74</v>
      </c>
      <c r="B21" s="21">
        <f>('G. PROM.  PUB.'!C8)</f>
        <v>1854</v>
      </c>
      <c r="C21" s="21">
        <f t="shared" ref="C21:F21" si="6">(B21*0.08)+B21</f>
        <v>2002.32</v>
      </c>
      <c r="D21" s="21">
        <f t="shared" si="6"/>
        <v>2162.5056</v>
      </c>
      <c r="E21" s="21">
        <f t="shared" si="6"/>
        <v>2335.5060480000002</v>
      </c>
      <c r="F21" s="21">
        <f t="shared" si="6"/>
        <v>2522.3465318400004</v>
      </c>
    </row>
    <row r="22" spans="1:6" ht="15.75">
      <c r="A22" s="13" t="s">
        <v>88</v>
      </c>
      <c r="B22" s="23">
        <f>SUM(B20:B21)</f>
        <v>3831.6</v>
      </c>
      <c r="C22" s="23">
        <f>SUM(C20:C21)</f>
        <v>4138.1279999999997</v>
      </c>
      <c r="D22" s="23">
        <f>SUM(D20:D21)</f>
        <v>4469.1782399999993</v>
      </c>
      <c r="E22" s="23">
        <f>SUM(E20:E21)</f>
        <v>4826.7124991999999</v>
      </c>
      <c r="F22" s="23">
        <f>SUM(F20:F21)</f>
        <v>5212.8494991360003</v>
      </c>
    </row>
    <row r="23" spans="1:6" ht="15.75">
      <c r="A23" s="13" t="s">
        <v>89</v>
      </c>
      <c r="B23" s="23">
        <f>(B14+B18+B22)</f>
        <v>14405.873976064029</v>
      </c>
      <c r="C23" s="23">
        <f>(C14+C18+C22)</f>
        <v>15093.69799206403</v>
      </c>
      <c r="D23" s="23">
        <f>(D14+D18+D22)</f>
        <v>15836.547929344028</v>
      </c>
      <c r="E23" s="23">
        <f>(E14+E18+E22)</f>
        <v>16638.825861606427</v>
      </c>
      <c r="F23" s="23">
        <f>(F14+F18+F22)</f>
        <v>17505.28602844982</v>
      </c>
    </row>
    <row r="24" spans="1:6" ht="15.75">
      <c r="A24" s="13" t="s">
        <v>90</v>
      </c>
      <c r="B24" s="23">
        <f>(B8+B23)</f>
        <v>28377.123976064031</v>
      </c>
      <c r="C24" s="23">
        <f>(C8+C23)</f>
        <v>29729.047992064028</v>
      </c>
      <c r="D24" s="23">
        <f>(D8+D23)</f>
        <v>31642.725929344029</v>
      </c>
      <c r="E24" s="23">
        <f>(E8+E23)</f>
        <v>33709.498101606427</v>
      </c>
      <c r="F24" s="23">
        <f>(F8+F23)</f>
        <v>35941.612047649818</v>
      </c>
    </row>
  </sheetData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2:B13"/>
  <sheetViews>
    <sheetView topLeftCell="A13" workbookViewId="0">
      <selection activeCell="B11" sqref="B11"/>
    </sheetView>
  </sheetViews>
  <sheetFormatPr baseColWidth="10" defaultRowHeight="15"/>
  <cols>
    <col min="1" max="1" width="34.5703125" customWidth="1"/>
    <col min="2" max="2" width="11.5703125" bestFit="1" customWidth="1"/>
  </cols>
  <sheetData>
    <row r="2" spans="1:2">
      <c r="A2" s="172" t="s">
        <v>145</v>
      </c>
      <c r="B2" s="172"/>
    </row>
    <row r="3" spans="1:2">
      <c r="A3" s="79"/>
      <c r="B3" s="79"/>
    </row>
    <row r="4" spans="1:2" ht="15.75">
      <c r="A4" s="80" t="s">
        <v>146</v>
      </c>
      <c r="B4" s="80" t="s">
        <v>147</v>
      </c>
    </row>
    <row r="5" spans="1:2" ht="15.75">
      <c r="A5" s="34" t="s">
        <v>69</v>
      </c>
      <c r="B5" s="105">
        <f>('RESUM. COST. GAST.'!B6)</f>
        <v>420</v>
      </c>
    </row>
    <row r="6" spans="1:2" ht="15.75">
      <c r="A6" s="34" t="s">
        <v>70</v>
      </c>
      <c r="B6" s="105">
        <f>('RESUM. COST. GAST.'!B7)</f>
        <v>12600</v>
      </c>
    </row>
    <row r="7" spans="1:2" ht="15.75">
      <c r="A7" s="34" t="s">
        <v>196</v>
      </c>
      <c r="B7" s="105">
        <f>('RESUM. COST. GAST.'!B8)</f>
        <v>951.25</v>
      </c>
    </row>
    <row r="8" spans="1:2" ht="15.75">
      <c r="A8" s="10" t="s">
        <v>72</v>
      </c>
      <c r="B8" s="81">
        <f>('PROYEC. COSTOS Y GAST.'!B11)</f>
        <v>1800.0192000000002</v>
      </c>
    </row>
    <row r="9" spans="1:2" ht="15.75">
      <c r="A9" s="10" t="s">
        <v>202</v>
      </c>
      <c r="B9" s="81">
        <f>('GAST. ADM. OPERAC.'!D4)</f>
        <v>1359.3810000000001</v>
      </c>
    </row>
    <row r="10" spans="1:2" ht="15.75">
      <c r="A10" s="15" t="s">
        <v>65</v>
      </c>
      <c r="B10" s="81">
        <f>('G. FINANC.'!B6)</f>
        <v>3269.3112000000001</v>
      </c>
    </row>
    <row r="11" spans="1:2" ht="15.75">
      <c r="A11" s="82" t="s">
        <v>12</v>
      </c>
      <c r="B11" s="77">
        <f>SUM(B5:B10)</f>
        <v>20399.9614</v>
      </c>
    </row>
    <row r="12" spans="1:2" ht="15.75">
      <c r="A12" s="2"/>
      <c r="B12" s="2"/>
    </row>
    <row r="13" spans="1:2">
      <c r="B13" s="84"/>
    </row>
  </sheetData>
  <mergeCells count="1">
    <mergeCell ref="A2:B2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3:B8"/>
  <sheetViews>
    <sheetView workbookViewId="0">
      <selection activeCell="B15" sqref="B15"/>
    </sheetView>
  </sheetViews>
  <sheetFormatPr baseColWidth="10" defaultRowHeight="15"/>
  <cols>
    <col min="1" max="1" width="37.28515625" customWidth="1"/>
  </cols>
  <sheetData>
    <row r="3" spans="1:2" ht="15.75">
      <c r="A3" s="173" t="s">
        <v>148</v>
      </c>
      <c r="B3" s="173"/>
    </row>
    <row r="4" spans="1:2" ht="15.75">
      <c r="A4" s="80" t="s">
        <v>146</v>
      </c>
      <c r="B4" s="80" t="s">
        <v>147</v>
      </c>
    </row>
    <row r="5" spans="1:2" ht="15.75">
      <c r="A5" s="10" t="s">
        <v>197</v>
      </c>
      <c r="B5" s="81">
        <f>('PROYEC. COSTOS Y GAST.'!B12)</f>
        <v>1606.8</v>
      </c>
    </row>
    <row r="6" spans="1:2" ht="15.75">
      <c r="A6" s="10" t="s">
        <v>198</v>
      </c>
      <c r="B6" s="81">
        <f>('PROYEC. COSTOS Y GAST.'!B20)</f>
        <v>1977.6</v>
      </c>
    </row>
    <row r="7" spans="1:2" ht="15.75">
      <c r="A7" s="10" t="s">
        <v>74</v>
      </c>
      <c r="B7" s="81">
        <f>('PROYEC. COSTOS Y GAST.'!B21)</f>
        <v>1854</v>
      </c>
    </row>
    <row r="8" spans="1:2" ht="15.75">
      <c r="A8" s="82" t="s">
        <v>12</v>
      </c>
      <c r="B8" s="77">
        <f>SUM(B5:B7)</f>
        <v>5438.4</v>
      </c>
    </row>
  </sheetData>
  <mergeCells count="1">
    <mergeCell ref="A3:B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4:H12"/>
  <sheetViews>
    <sheetView workbookViewId="0">
      <selection activeCell="D11" sqref="D11"/>
    </sheetView>
  </sheetViews>
  <sheetFormatPr baseColWidth="10" defaultRowHeight="15"/>
  <cols>
    <col min="1" max="1" width="21.5703125" customWidth="1"/>
    <col min="2" max="2" width="13.140625" customWidth="1"/>
    <col min="3" max="3" width="14.7109375" customWidth="1"/>
    <col min="4" max="4" width="15.140625" customWidth="1"/>
  </cols>
  <sheetData>
    <row r="4" spans="1:8" ht="15.75">
      <c r="A4" s="173" t="s">
        <v>91</v>
      </c>
      <c r="B4" s="173"/>
      <c r="C4" s="173"/>
      <c r="D4" s="173"/>
    </row>
    <row r="5" spans="1:8" ht="15.75">
      <c r="A5" s="1" t="s">
        <v>92</v>
      </c>
    </row>
    <row r="6" spans="1:8" ht="18" customHeight="1">
      <c r="A6" s="68" t="s">
        <v>93</v>
      </c>
      <c r="B6" s="46" t="s">
        <v>94</v>
      </c>
      <c r="C6" s="46" t="s">
        <v>95</v>
      </c>
      <c r="D6" s="46" t="s">
        <v>132</v>
      </c>
      <c r="F6" s="106" t="s">
        <v>155</v>
      </c>
      <c r="G6" s="106" t="s">
        <v>156</v>
      </c>
      <c r="H6" s="106" t="s">
        <v>157</v>
      </c>
    </row>
    <row r="7" spans="1:8" ht="18" customHeight="1">
      <c r="A7" s="11">
        <v>2011</v>
      </c>
      <c r="B7" s="16">
        <f>(H7)</f>
        <v>168000</v>
      </c>
      <c r="C7" s="67">
        <v>0.21</v>
      </c>
      <c r="D7" s="21">
        <f>(B7*C7)</f>
        <v>35280</v>
      </c>
      <c r="F7" s="8">
        <v>2800</v>
      </c>
      <c r="G7" s="8">
        <v>5</v>
      </c>
      <c r="H7" s="8">
        <f>(F7*G7*12)</f>
        <v>168000</v>
      </c>
    </row>
    <row r="8" spans="1:8" ht="18" customHeight="1">
      <c r="A8" s="11">
        <v>2012</v>
      </c>
      <c r="B8" s="16">
        <f t="shared" ref="B8:B12" si="0">(H8)</f>
        <v>235200</v>
      </c>
      <c r="C8" s="67">
        <v>0.21</v>
      </c>
      <c r="D8" s="21">
        <f t="shared" ref="D8:D12" si="1">(B8*C8)</f>
        <v>49392</v>
      </c>
      <c r="F8" s="8">
        <v>2800</v>
      </c>
      <c r="G8" s="8">
        <v>7</v>
      </c>
      <c r="H8" s="8">
        <f t="shared" ref="H8:H12" si="2">(F8*G8*12)</f>
        <v>235200</v>
      </c>
    </row>
    <row r="9" spans="1:8" ht="18" customHeight="1">
      <c r="A9" s="11">
        <v>2013</v>
      </c>
      <c r="B9" s="16">
        <f t="shared" si="0"/>
        <v>302400</v>
      </c>
      <c r="C9" s="67">
        <v>0.21</v>
      </c>
      <c r="D9" s="21">
        <f t="shared" si="1"/>
        <v>63504</v>
      </c>
      <c r="F9" s="8">
        <v>2800</v>
      </c>
      <c r="G9" s="8">
        <v>9</v>
      </c>
      <c r="H9" s="8">
        <f t="shared" si="2"/>
        <v>302400</v>
      </c>
    </row>
    <row r="10" spans="1:8" ht="18" customHeight="1">
      <c r="A10" s="11">
        <v>2014</v>
      </c>
      <c r="B10" s="16">
        <f t="shared" si="0"/>
        <v>369600</v>
      </c>
      <c r="C10" s="67">
        <v>0.21</v>
      </c>
      <c r="D10" s="21">
        <f t="shared" si="1"/>
        <v>77616</v>
      </c>
      <c r="F10" s="8">
        <v>2800</v>
      </c>
      <c r="G10" s="8">
        <v>11</v>
      </c>
      <c r="H10" s="8">
        <f t="shared" si="2"/>
        <v>369600</v>
      </c>
    </row>
    <row r="11" spans="1:8" ht="18" customHeight="1">
      <c r="A11" s="11">
        <v>2015</v>
      </c>
      <c r="B11" s="16">
        <f t="shared" si="0"/>
        <v>436800</v>
      </c>
      <c r="C11" s="67">
        <v>0.21</v>
      </c>
      <c r="D11" s="21">
        <f t="shared" si="1"/>
        <v>91728</v>
      </c>
      <c r="F11" s="8">
        <v>2800</v>
      </c>
      <c r="G11" s="8">
        <v>13</v>
      </c>
      <c r="H11" s="8">
        <f t="shared" si="2"/>
        <v>436800</v>
      </c>
    </row>
    <row r="12" spans="1:8" ht="18" customHeight="1">
      <c r="A12" s="11">
        <v>2016</v>
      </c>
      <c r="B12" s="16">
        <f t="shared" si="0"/>
        <v>504000</v>
      </c>
      <c r="C12" s="67">
        <v>0.21</v>
      </c>
      <c r="D12" s="21">
        <f t="shared" si="1"/>
        <v>105840</v>
      </c>
      <c r="F12" s="8">
        <v>2800</v>
      </c>
      <c r="G12" s="8">
        <v>15</v>
      </c>
      <c r="H12" s="8">
        <f t="shared" si="2"/>
        <v>504000</v>
      </c>
    </row>
  </sheetData>
  <mergeCells count="1">
    <mergeCell ref="A4:D4"/>
  </mergeCells>
  <pageMargins left="0.7" right="0.7" top="0.75" bottom="0.75" header="0.3" footer="0.3"/>
  <pageSetup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3:M29"/>
  <sheetViews>
    <sheetView topLeftCell="A13" zoomScale="90" zoomScaleNormal="90" workbookViewId="0">
      <selection activeCell="D36" sqref="D36"/>
    </sheetView>
  </sheetViews>
  <sheetFormatPr baseColWidth="10" defaultRowHeight="15"/>
  <cols>
    <col min="1" max="1" width="35.5703125" customWidth="1"/>
    <col min="2" max="2" width="13.7109375" customWidth="1"/>
    <col min="3" max="3" width="15.140625" customWidth="1"/>
    <col min="4" max="4" width="14.7109375" customWidth="1"/>
    <col min="5" max="5" width="13.5703125" customWidth="1"/>
    <col min="6" max="6" width="13.7109375" customWidth="1"/>
    <col min="7" max="7" width="13.140625" customWidth="1"/>
    <col min="8" max="8" width="15.140625" customWidth="1"/>
  </cols>
  <sheetData>
    <row r="3" spans="1:13">
      <c r="H3" t="s">
        <v>199</v>
      </c>
    </row>
    <row r="4" spans="1:13" ht="15.75">
      <c r="A4" s="13" t="s">
        <v>96</v>
      </c>
      <c r="B4" s="20">
        <v>0</v>
      </c>
      <c r="C4" s="20">
        <v>1</v>
      </c>
      <c r="D4" s="20">
        <v>2</v>
      </c>
      <c r="E4" s="20">
        <v>3</v>
      </c>
      <c r="F4" s="20">
        <v>4</v>
      </c>
      <c r="G4" s="20">
        <v>5</v>
      </c>
      <c r="H4" s="20">
        <v>6</v>
      </c>
    </row>
    <row r="5" spans="1:13" ht="15.75">
      <c r="A5" s="13" t="s">
        <v>97</v>
      </c>
      <c r="B5" s="13"/>
      <c r="C5" s="13"/>
      <c r="D5" s="13"/>
      <c r="E5" s="13"/>
      <c r="F5" s="13"/>
      <c r="G5" s="13"/>
      <c r="H5" s="13"/>
    </row>
    <row r="6" spans="1:13" ht="15.75">
      <c r="A6" s="13" t="s">
        <v>98</v>
      </c>
      <c r="B6" s="13"/>
      <c r="C6" s="22"/>
      <c r="D6" s="23">
        <f>('VENTA PROY.'!D7)</f>
        <v>35280</v>
      </c>
      <c r="E6" s="23">
        <f>('VENTA PROY.'!D8)</f>
        <v>49392</v>
      </c>
      <c r="F6" s="23">
        <f>('VENTA PROY.'!D9)</f>
        <v>63504</v>
      </c>
      <c r="G6" s="23">
        <f>('VENTA PROY.'!D10)</f>
        <v>77616</v>
      </c>
      <c r="H6" s="23">
        <f>('VENTA PROY.'!D11)</f>
        <v>91728</v>
      </c>
      <c r="J6" s="12">
        <f>(I6*0.08)+I6</f>
        <v>0</v>
      </c>
    </row>
    <row r="7" spans="1:13" ht="15.75">
      <c r="A7" s="13" t="s">
        <v>99</v>
      </c>
      <c r="B7" s="13"/>
      <c r="C7" s="22"/>
      <c r="D7" s="22"/>
      <c r="E7" s="22"/>
      <c r="F7" s="22"/>
      <c r="G7" s="22"/>
      <c r="H7" s="22"/>
    </row>
    <row r="8" spans="1:13" ht="15.75">
      <c r="A8" s="10" t="s">
        <v>69</v>
      </c>
      <c r="B8" s="13"/>
      <c r="C8" s="21">
        <f>('RESUM. COST. GAST.'!B6)</f>
        <v>420</v>
      </c>
      <c r="D8" s="33"/>
      <c r="E8" s="21"/>
      <c r="F8" s="21"/>
      <c r="G8" s="21"/>
      <c r="H8" s="21"/>
    </row>
    <row r="9" spans="1:13" ht="15.75">
      <c r="A9" s="10" t="s">
        <v>70</v>
      </c>
      <c r="B9" s="13"/>
      <c r="C9" s="21">
        <f>('RESUM. COST. GAST.'!B7)</f>
        <v>12600</v>
      </c>
      <c r="D9" s="12">
        <f>(C9*0.08)+C9</f>
        <v>13608</v>
      </c>
      <c r="E9" s="12">
        <f t="shared" ref="E9:H9" si="0">(D9*0.08)+D9</f>
        <v>14696.64</v>
      </c>
      <c r="F9" s="12">
        <f t="shared" si="0"/>
        <v>15872.3712</v>
      </c>
      <c r="G9" s="12">
        <f t="shared" si="0"/>
        <v>17142.160896000001</v>
      </c>
      <c r="H9" s="12">
        <f t="shared" si="0"/>
        <v>18513.533767680001</v>
      </c>
    </row>
    <row r="10" spans="1:13" ht="15.75">
      <c r="A10" s="10" t="s">
        <v>71</v>
      </c>
      <c r="B10" s="13"/>
      <c r="C10" s="21">
        <f>('RESUM. COST. GAST.'!B8)</f>
        <v>951.25</v>
      </c>
      <c r="D10" s="12">
        <f>(C10*0.08)+C10</f>
        <v>1027.3499999999999</v>
      </c>
      <c r="E10" s="12">
        <f t="shared" ref="E10:H10" si="1">(D10*0.08)+D10</f>
        <v>1109.538</v>
      </c>
      <c r="F10" s="12">
        <f t="shared" si="1"/>
        <v>1198.3010400000001</v>
      </c>
      <c r="G10" s="12">
        <f t="shared" si="1"/>
        <v>1294.1651232000002</v>
      </c>
      <c r="H10" s="12">
        <f t="shared" si="1"/>
        <v>1397.6983330560001</v>
      </c>
      <c r="K10">
        <v>32440.04</v>
      </c>
      <c r="L10">
        <v>201600</v>
      </c>
      <c r="M10">
        <f>(K10/L10)</f>
        <v>0.16091289682539683</v>
      </c>
    </row>
    <row r="11" spans="1:13" ht="15.75">
      <c r="A11" s="13" t="s">
        <v>105</v>
      </c>
      <c r="B11" s="13"/>
      <c r="C11" s="23"/>
      <c r="D11" s="39">
        <f>D6-(D9+D10)</f>
        <v>20644.650000000001</v>
      </c>
      <c r="E11" s="39">
        <f t="shared" ref="E11:H11" si="2">E6-(E9+E10)</f>
        <v>33585.822</v>
      </c>
      <c r="F11" s="39">
        <f t="shared" si="2"/>
        <v>46433.32776</v>
      </c>
      <c r="G11" s="39">
        <f t="shared" si="2"/>
        <v>59179.673980799998</v>
      </c>
      <c r="H11" s="39">
        <f t="shared" si="2"/>
        <v>71816.767899263999</v>
      </c>
    </row>
    <row r="12" spans="1:13" ht="15.75">
      <c r="A12" s="13" t="s">
        <v>100</v>
      </c>
      <c r="B12" s="13"/>
      <c r="C12" s="22"/>
      <c r="D12" s="22"/>
      <c r="E12" s="22"/>
      <c r="F12" s="22"/>
      <c r="G12" s="22"/>
      <c r="H12" s="22"/>
    </row>
    <row r="13" spans="1:13" ht="15.75">
      <c r="A13" s="10" t="s">
        <v>72</v>
      </c>
      <c r="B13" s="13"/>
      <c r="C13" s="21">
        <f>('RESUM. COST. GAST.'!B10)</f>
        <v>1800.0192000000002</v>
      </c>
      <c r="D13" s="12">
        <f>(C13*0.08)+C13</f>
        <v>1944.0207360000002</v>
      </c>
      <c r="E13" s="12">
        <f t="shared" ref="E13:H13" si="3">(D13*0.08)+D13</f>
        <v>2099.5423948800003</v>
      </c>
      <c r="F13" s="12">
        <f t="shared" si="3"/>
        <v>2267.5057864704004</v>
      </c>
      <c r="G13" s="12">
        <f t="shared" si="3"/>
        <v>2448.9062493880324</v>
      </c>
      <c r="H13" s="12">
        <f t="shared" si="3"/>
        <v>2644.8187493390751</v>
      </c>
    </row>
    <row r="14" spans="1:13" ht="15.75">
      <c r="A14" s="10" t="s">
        <v>73</v>
      </c>
      <c r="B14" s="13"/>
      <c r="C14" s="21">
        <f>('PROYEC. COSTOS Y GAST.'!B12)</f>
        <v>1606.8</v>
      </c>
      <c r="D14" s="12">
        <f t="shared" ref="D14:H17" si="4">(C14*0.08)+C14</f>
        <v>1735.3440000000001</v>
      </c>
      <c r="E14" s="12">
        <f t="shared" si="4"/>
        <v>1874.1715200000001</v>
      </c>
      <c r="F14" s="12">
        <f t="shared" si="4"/>
        <v>2024.1052416000002</v>
      </c>
      <c r="G14" s="12">
        <f t="shared" si="4"/>
        <v>2186.0336609280002</v>
      </c>
      <c r="H14" s="12">
        <f t="shared" si="4"/>
        <v>2360.9163538022403</v>
      </c>
    </row>
    <row r="15" spans="1:13" ht="15.75">
      <c r="A15" s="10" t="s">
        <v>65</v>
      </c>
      <c r="B15" s="13"/>
      <c r="C15" s="21">
        <f>('PROYEC. COSTOS Y GAST.'!B16)</f>
        <v>3269.3112000000001</v>
      </c>
      <c r="D15" s="12">
        <f>(AMORTIZACION!C10)</f>
        <v>2812.3339363084751</v>
      </c>
      <c r="E15" s="12">
        <f>(AMORTIZACION!C11)</f>
        <v>2273.1007651524756</v>
      </c>
      <c r="F15" s="12">
        <f>(AMORTIZACION!C12)</f>
        <v>1636.8056231883961</v>
      </c>
      <c r="G15" s="12">
        <f>(AMORTIZACION!C13)</f>
        <v>885.97735567078246</v>
      </c>
      <c r="H15" s="12">
        <v>0</v>
      </c>
    </row>
    <row r="16" spans="1:13" ht="15.75">
      <c r="A16" s="10" t="s">
        <v>85</v>
      </c>
      <c r="B16" s="13"/>
      <c r="C16" s="21">
        <f>('PROYEC. COSTOS Y GAST.'!B17)</f>
        <v>2538.7625760640276</v>
      </c>
      <c r="D16" s="12">
        <f>(AMORTIZACION!D10)</f>
        <v>2995.7398397555526</v>
      </c>
      <c r="E16" s="12">
        <f>(AMORTIZACION!D11)</f>
        <v>3534.9730109115521</v>
      </c>
      <c r="F16" s="12">
        <f>(AMORTIZACION!D12)</f>
        <v>4171.2681528756311</v>
      </c>
      <c r="G16" s="12">
        <f>(AMORTIZACION!D13)</f>
        <v>4922.0964203932454</v>
      </c>
      <c r="H16" s="12"/>
    </row>
    <row r="17" spans="1:8" ht="15.75">
      <c r="A17" s="10" t="s">
        <v>59</v>
      </c>
      <c r="B17" s="22"/>
      <c r="C17" s="21">
        <f>('RESUM. COST. GAST.'!B12)</f>
        <v>1977.6</v>
      </c>
      <c r="D17" s="12">
        <f t="shared" si="4"/>
        <v>2135.808</v>
      </c>
      <c r="E17" s="12">
        <f t="shared" si="4"/>
        <v>2306.6726399999998</v>
      </c>
      <c r="F17" s="12">
        <f t="shared" si="4"/>
        <v>2491.2064511999997</v>
      </c>
      <c r="G17" s="12">
        <f t="shared" si="4"/>
        <v>2690.5029672959995</v>
      </c>
      <c r="H17" s="12">
        <f t="shared" si="4"/>
        <v>2905.7432046796794</v>
      </c>
    </row>
    <row r="18" spans="1:8" ht="15.75">
      <c r="A18" s="13" t="s">
        <v>106</v>
      </c>
      <c r="B18" s="22"/>
      <c r="C18" s="23"/>
      <c r="D18" s="23">
        <f>D11-(D13+D14+D15+D16+D17)</f>
        <v>9021.4034879359715</v>
      </c>
      <c r="E18" s="23">
        <f>E11-(E13+E14+E15+E16+E17)</f>
        <v>21497.361669055972</v>
      </c>
      <c r="F18" s="23">
        <f t="shared" ref="F18:H18" si="5">F11-(F13+F14+F15+F16+F17)</f>
        <v>33842.436504665573</v>
      </c>
      <c r="G18" s="23">
        <f t="shared" si="5"/>
        <v>46046.157327123939</v>
      </c>
      <c r="H18" s="23">
        <f t="shared" si="5"/>
        <v>63905.289591443005</v>
      </c>
    </row>
    <row r="19" spans="1:8" ht="15.75">
      <c r="A19" s="10" t="s">
        <v>101</v>
      </c>
      <c r="B19" s="22"/>
      <c r="C19" s="33"/>
      <c r="D19" s="21">
        <f>(D18*0.15)</f>
        <v>1353.2105231903956</v>
      </c>
      <c r="E19" s="21">
        <f t="shared" ref="E19:H19" si="6">(E18*0.15)</f>
        <v>3224.6042503583958</v>
      </c>
      <c r="F19" s="21">
        <f t="shared" si="6"/>
        <v>5076.3654756998358</v>
      </c>
      <c r="G19" s="21">
        <f t="shared" si="6"/>
        <v>6906.9235990685911</v>
      </c>
      <c r="H19" s="21">
        <f t="shared" si="6"/>
        <v>9585.7934387164496</v>
      </c>
    </row>
    <row r="20" spans="1:8" ht="15.75">
      <c r="A20" s="13" t="s">
        <v>107</v>
      </c>
      <c r="B20" s="22"/>
      <c r="C20" s="23"/>
      <c r="D20" s="23">
        <f>(D18-D19)</f>
        <v>7668.1929647455763</v>
      </c>
      <c r="E20" s="23">
        <f t="shared" ref="E20:H20" si="7">(E18-E19)</f>
        <v>18272.757418697576</v>
      </c>
      <c r="F20" s="23">
        <f t="shared" si="7"/>
        <v>28766.071028965736</v>
      </c>
      <c r="G20" s="23">
        <f t="shared" si="7"/>
        <v>39139.233728055347</v>
      </c>
      <c r="H20" s="23">
        <f t="shared" si="7"/>
        <v>54319.496152726555</v>
      </c>
    </row>
    <row r="21" spans="1:8" ht="15.75">
      <c r="A21" s="10" t="s">
        <v>102</v>
      </c>
      <c r="B21" s="22"/>
      <c r="C21" s="33"/>
      <c r="D21" s="21">
        <f>(D20*0.25)</f>
        <v>1917.0482411863941</v>
      </c>
      <c r="E21" s="21">
        <f t="shared" ref="E21:H21" si="8">(E20*0.25)</f>
        <v>4568.1893546743941</v>
      </c>
      <c r="F21" s="21">
        <f t="shared" si="8"/>
        <v>7191.5177572414341</v>
      </c>
      <c r="G21" s="21">
        <f t="shared" si="8"/>
        <v>9784.8084320138369</v>
      </c>
      <c r="H21" s="21">
        <f t="shared" si="8"/>
        <v>13579.874038181639</v>
      </c>
    </row>
    <row r="22" spans="1:8" ht="15.75">
      <c r="A22" s="13" t="s">
        <v>108</v>
      </c>
      <c r="B22" s="22"/>
      <c r="C22" s="22"/>
      <c r="D22" s="23">
        <f>(D20-D21)</f>
        <v>5751.1447235591822</v>
      </c>
      <c r="E22" s="23">
        <f t="shared" ref="E22:H22" si="9">(E20-E21)</f>
        <v>13704.568064023182</v>
      </c>
      <c r="F22" s="23">
        <f t="shared" si="9"/>
        <v>21574.553271724304</v>
      </c>
      <c r="G22" s="23">
        <f t="shared" si="9"/>
        <v>29354.425296041511</v>
      </c>
      <c r="H22" s="23">
        <f t="shared" si="9"/>
        <v>40739.622114544916</v>
      </c>
    </row>
    <row r="23" spans="1:8" ht="15.75">
      <c r="A23" s="10" t="s">
        <v>103</v>
      </c>
      <c r="B23" s="21">
        <f>('RES. INVERSION'!B5)</f>
        <v>30271.399999999998</v>
      </c>
      <c r="C23" s="22"/>
      <c r="D23" s="22"/>
      <c r="E23" s="22"/>
      <c r="F23" s="22"/>
      <c r="G23" s="22"/>
      <c r="H23" s="22"/>
    </row>
    <row r="24" spans="1:8" ht="15.75">
      <c r="A24" s="10" t="s">
        <v>104</v>
      </c>
      <c r="B24" s="22"/>
      <c r="C24" s="21">
        <f>('PROYEC. COSTOS Y GAST.'!B13)</f>
        <v>1359.3810000000001</v>
      </c>
      <c r="D24" s="21">
        <f>(C24)</f>
        <v>1359.3810000000001</v>
      </c>
      <c r="E24" s="21">
        <f t="shared" ref="E24:G24" si="10">(D24)</f>
        <v>1359.3810000000001</v>
      </c>
      <c r="F24" s="21">
        <f t="shared" si="10"/>
        <v>1359.3810000000001</v>
      </c>
      <c r="G24" s="21">
        <f t="shared" si="10"/>
        <v>1359.3810000000001</v>
      </c>
      <c r="H24" s="21"/>
    </row>
    <row r="25" spans="1:8" ht="15.75">
      <c r="A25" s="13" t="s">
        <v>109</v>
      </c>
      <c r="B25" s="23">
        <f>SUM(B5:B24)</f>
        <v>30271.399999999998</v>
      </c>
      <c r="C25" s="23">
        <f>SUM(C5:C24)</f>
        <v>26523.123976064031</v>
      </c>
      <c r="D25" s="23">
        <f>SUM(D22:D24)</f>
        <v>7110.5257235591826</v>
      </c>
      <c r="E25" s="23">
        <f>SUM(E22:E24)</f>
        <v>15063.949064023182</v>
      </c>
      <c r="F25" s="23">
        <f>SUM(F22:F24)</f>
        <v>22933.934271724305</v>
      </c>
      <c r="G25" s="23">
        <f>SUM(G22:G24)</f>
        <v>30713.806296041512</v>
      </c>
      <c r="H25" s="23">
        <f>SUM(H22:H24)</f>
        <v>40739.622114544916</v>
      </c>
    </row>
    <row r="26" spans="1:8">
      <c r="B26" s="36"/>
    </row>
    <row r="27" spans="1:8">
      <c r="B27" s="36"/>
    </row>
    <row r="28" spans="1:8">
      <c r="B28" s="36"/>
    </row>
    <row r="29" spans="1:8">
      <c r="B29" s="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F7"/>
  <sheetViews>
    <sheetView workbookViewId="0">
      <selection activeCell="D5" sqref="D5"/>
    </sheetView>
  </sheetViews>
  <sheetFormatPr baseColWidth="10" defaultRowHeight="15"/>
  <sheetData>
    <row r="3" spans="1:6" ht="15.75" thickBot="1"/>
    <row r="4" spans="1:6" ht="63.75" thickBot="1">
      <c r="A4" s="29" t="s">
        <v>121</v>
      </c>
      <c r="B4" s="30">
        <v>2009</v>
      </c>
      <c r="C4" s="30">
        <v>2010</v>
      </c>
      <c r="D4" s="30">
        <v>2011</v>
      </c>
      <c r="E4" s="30">
        <v>2012</v>
      </c>
      <c r="F4" s="30">
        <v>2013</v>
      </c>
    </row>
    <row r="5" spans="1:6" ht="16.5" thickBot="1">
      <c r="A5" s="40" t="s">
        <v>122</v>
      </c>
      <c r="B5" s="44">
        <v>0.49</v>
      </c>
      <c r="C5" s="45">
        <f>(B5*0.08)+B5</f>
        <v>0.5292</v>
      </c>
      <c r="D5" s="45">
        <f t="shared" ref="D5:F5" si="0">(C5*0.08)+C5</f>
        <v>0.57153600000000004</v>
      </c>
      <c r="E5" s="45">
        <f t="shared" si="0"/>
        <v>0.61725888000000007</v>
      </c>
      <c r="F5" s="45">
        <f t="shared" si="0"/>
        <v>0.66663959040000009</v>
      </c>
    </row>
    <row r="6" spans="1:6" ht="16.5" thickBot="1">
      <c r="A6" s="40" t="s">
        <v>123</v>
      </c>
      <c r="B6" s="44">
        <v>0.54</v>
      </c>
      <c r="C6" s="45">
        <f t="shared" ref="C6:F7" si="1">(B6*0.08)+B6</f>
        <v>0.58320000000000005</v>
      </c>
      <c r="D6" s="45">
        <f t="shared" si="1"/>
        <v>0.62985600000000008</v>
      </c>
      <c r="E6" s="45">
        <f t="shared" si="1"/>
        <v>0.68024448000000004</v>
      </c>
      <c r="F6" s="45">
        <f t="shared" si="1"/>
        <v>0.73466403840000005</v>
      </c>
    </row>
    <row r="7" spans="1:6" ht="16.5" thickBot="1">
      <c r="A7" s="40" t="s">
        <v>124</v>
      </c>
      <c r="B7" s="44">
        <v>0.59</v>
      </c>
      <c r="C7" s="45">
        <f t="shared" si="1"/>
        <v>0.63719999999999999</v>
      </c>
      <c r="D7" s="45">
        <f t="shared" si="1"/>
        <v>0.68817600000000001</v>
      </c>
      <c r="E7" s="45">
        <f t="shared" si="1"/>
        <v>0.74323008000000002</v>
      </c>
      <c r="F7" s="45">
        <f t="shared" si="1"/>
        <v>0.80268848640000001</v>
      </c>
    </row>
  </sheetData>
  <pageMargins left="0.7" right="0.7" top="0.75" bottom="0.75" header="0.3" footer="0.3"/>
  <pageSetup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3:Q17"/>
  <sheetViews>
    <sheetView workbookViewId="0">
      <selection activeCell="B8" sqref="B8"/>
    </sheetView>
  </sheetViews>
  <sheetFormatPr baseColWidth="10" defaultRowHeight="15"/>
  <cols>
    <col min="1" max="1" width="29.28515625" customWidth="1"/>
    <col min="2" max="6" width="13" customWidth="1"/>
  </cols>
  <sheetData>
    <row r="3" spans="1:17" ht="15.75">
      <c r="A3" s="174" t="s">
        <v>110</v>
      </c>
      <c r="B3" s="174"/>
      <c r="C3" s="174"/>
    </row>
    <row r="4" spans="1:17" ht="16.5" thickBot="1">
      <c r="A4" s="38"/>
    </row>
    <row r="5" spans="1:17" ht="20.100000000000001" customHeight="1" thickBot="1">
      <c r="A5" s="29" t="s">
        <v>111</v>
      </c>
      <c r="B5" s="30" t="s">
        <v>112</v>
      </c>
      <c r="C5" s="30" t="s">
        <v>113</v>
      </c>
      <c r="D5" s="30" t="s">
        <v>114</v>
      </c>
      <c r="E5" s="30" t="s">
        <v>115</v>
      </c>
      <c r="F5" s="30" t="s">
        <v>116</v>
      </c>
    </row>
    <row r="6" spans="1:17" ht="20.100000000000001" customHeight="1" thickBot="1">
      <c r="A6" s="41" t="s">
        <v>98</v>
      </c>
      <c r="B6" s="42">
        <f>('VENTA PROY.'!D7)</f>
        <v>35280</v>
      </c>
      <c r="C6" s="42">
        <f>('VENTA PROY.'!D8)</f>
        <v>49392</v>
      </c>
      <c r="D6" s="42">
        <f>('VENTA PROY.'!D9)</f>
        <v>63504</v>
      </c>
      <c r="E6" s="42">
        <f>('VENTA PROY.'!D10)</f>
        <v>77616</v>
      </c>
      <c r="F6" s="42">
        <f>('VENTA PROY.'!D11)</f>
        <v>91728</v>
      </c>
    </row>
    <row r="7" spans="1:17" ht="20.100000000000001" customHeight="1" thickBot="1">
      <c r="A7" s="41" t="s">
        <v>44</v>
      </c>
      <c r="B7" s="42">
        <f>('PROYEC. COSTOS Y GAST.'!B8)</f>
        <v>13971.25</v>
      </c>
      <c r="C7" s="42">
        <f>('PROYEC. COSTOS Y GAST.'!C8)</f>
        <v>14635.35</v>
      </c>
      <c r="D7" s="42">
        <f>('PROYEC. COSTOS Y GAST.'!D8)</f>
        <v>15806.178</v>
      </c>
      <c r="E7" s="42">
        <f>('PROYEC. COSTOS Y GAST.'!E8)</f>
        <v>17070.67224</v>
      </c>
      <c r="F7" s="42">
        <f>('PROYEC. COSTOS Y GAST.'!F8)</f>
        <v>18436.326019200002</v>
      </c>
    </row>
    <row r="8" spans="1:17" ht="20.100000000000001" customHeight="1" thickBot="1">
      <c r="A8" s="37" t="s">
        <v>117</v>
      </c>
      <c r="B8" s="43">
        <f>(B6-B7)</f>
        <v>21308.75</v>
      </c>
      <c r="C8" s="43">
        <f>(C6-C7)</f>
        <v>34756.65</v>
      </c>
      <c r="D8" s="43">
        <f>(D6-D7)</f>
        <v>47697.822</v>
      </c>
      <c r="E8" s="43">
        <f>(E6-E7)</f>
        <v>60545.32776</v>
      </c>
      <c r="F8" s="43">
        <f>(F6-F7)</f>
        <v>73291.673980799998</v>
      </c>
    </row>
    <row r="9" spans="1:17" ht="20.100000000000001" customHeight="1" thickBot="1">
      <c r="A9" s="41" t="s">
        <v>118</v>
      </c>
      <c r="B9" s="42">
        <f>('PROYEC. COSTOS Y GAST.'!B14)</f>
        <v>4766.2002000000002</v>
      </c>
      <c r="C9" s="42">
        <f>('PROYEC. COSTOS Y GAST.'!C14)</f>
        <v>5147.4962160000005</v>
      </c>
      <c r="D9" s="42">
        <f>('PROYEC. COSTOS Y GAST.'!D14)</f>
        <v>5559.2959132800006</v>
      </c>
      <c r="E9" s="42">
        <f>('PROYEC. COSTOS Y GAST.'!E14)</f>
        <v>6004.0395863424001</v>
      </c>
      <c r="F9" s="42">
        <f>('PROYEC. COSTOS Y GAST.'!F14)</f>
        <v>6484.3627532497921</v>
      </c>
    </row>
    <row r="10" spans="1:17" ht="20.100000000000001" customHeight="1" thickBot="1">
      <c r="A10" s="41" t="s">
        <v>59</v>
      </c>
      <c r="B10" s="42">
        <f>('PROYEC. COSTOS Y GAST.'!B22)</f>
        <v>3831.6</v>
      </c>
      <c r="C10" s="42">
        <f>('PROYEC. COSTOS Y GAST.'!C22)</f>
        <v>4138.1279999999997</v>
      </c>
      <c r="D10" s="42">
        <f>('PROYEC. COSTOS Y GAST.'!D22)</f>
        <v>4469.1782399999993</v>
      </c>
      <c r="E10" s="42">
        <f>('PROYEC. COSTOS Y GAST.'!E22)</f>
        <v>4826.7124991999999</v>
      </c>
      <c r="F10" s="42">
        <f>('PROYEC. COSTOS Y GAST.'!F22)</f>
        <v>5212.8494991360003</v>
      </c>
    </row>
    <row r="11" spans="1:17" ht="20.100000000000001" customHeight="1" thickBot="1">
      <c r="A11" s="41" t="s">
        <v>63</v>
      </c>
      <c r="B11" s="42">
        <f>('PROYEC. COSTOS Y GAST.'!B18)</f>
        <v>5808.0737760640277</v>
      </c>
      <c r="C11" s="42">
        <f>(B11)</f>
        <v>5808.0737760640277</v>
      </c>
      <c r="D11" s="42">
        <f t="shared" ref="D11:F11" si="0">(C11)</f>
        <v>5808.0737760640277</v>
      </c>
      <c r="E11" s="42">
        <f t="shared" si="0"/>
        <v>5808.0737760640277</v>
      </c>
      <c r="F11" s="42">
        <f t="shared" si="0"/>
        <v>5808.0737760640277</v>
      </c>
    </row>
    <row r="12" spans="1:17" ht="20.100000000000001" customHeight="1" thickBot="1">
      <c r="A12" s="37" t="s">
        <v>210</v>
      </c>
      <c r="B12" s="43">
        <f>B8-(B9+B10+B11)</f>
        <v>6902.8760239359726</v>
      </c>
      <c r="C12" s="43">
        <f>C8-(C9+C10+C11)</f>
        <v>19662.952007935972</v>
      </c>
      <c r="D12" s="43">
        <f>D8-(D9+D10+D11)</f>
        <v>31861.274070655971</v>
      </c>
      <c r="E12" s="43">
        <f>E8-(E9+E10+E11)</f>
        <v>43906.501898393573</v>
      </c>
      <c r="F12" s="43">
        <f>F8-(F9+F10+F11)</f>
        <v>55786.387952350182</v>
      </c>
    </row>
    <row r="13" spans="1:17" ht="20.100000000000001" customHeight="1" thickBot="1">
      <c r="A13" s="41" t="s">
        <v>119</v>
      </c>
      <c r="B13" s="42">
        <f>(B12*0.15)</f>
        <v>1035.4314035903958</v>
      </c>
      <c r="C13" s="42">
        <f t="shared" ref="C13:F13" si="1">(C12*0.15)</f>
        <v>2949.4428011903956</v>
      </c>
      <c r="D13" s="42">
        <f t="shared" si="1"/>
        <v>4779.1911105983954</v>
      </c>
      <c r="E13" s="42">
        <f t="shared" si="1"/>
        <v>6585.9752847590362</v>
      </c>
      <c r="F13" s="42">
        <f t="shared" si="1"/>
        <v>8367.9581928525276</v>
      </c>
      <c r="Q13" s="42"/>
    </row>
    <row r="14" spans="1:17" ht="20.100000000000001" customHeight="1" thickBot="1">
      <c r="A14" s="41" t="s">
        <v>120</v>
      </c>
      <c r="B14" s="42">
        <f>(B12*0.25)</f>
        <v>1725.7190059839932</v>
      </c>
      <c r="C14" s="42">
        <f t="shared" ref="C14:F14" si="2">(C12*0.25)</f>
        <v>4915.7380019839929</v>
      </c>
      <c r="D14" s="42">
        <f t="shared" si="2"/>
        <v>7965.3185176639927</v>
      </c>
      <c r="E14" s="42">
        <f t="shared" si="2"/>
        <v>10976.625474598393</v>
      </c>
      <c r="F14" s="42">
        <f t="shared" si="2"/>
        <v>13946.596988087545</v>
      </c>
      <c r="Q14" s="114"/>
    </row>
    <row r="15" spans="1:17" ht="20.100000000000001" customHeight="1" thickBot="1">
      <c r="A15" s="37" t="s">
        <v>209</v>
      </c>
      <c r="B15" s="43">
        <f>(B12-B13-B14)</f>
        <v>4141.7256143615841</v>
      </c>
      <c r="C15" s="43">
        <f t="shared" ref="C15:F15" si="3">(C12-C13-C14)</f>
        <v>11797.771204761584</v>
      </c>
      <c r="D15" s="43">
        <f t="shared" si="3"/>
        <v>19116.764442393582</v>
      </c>
      <c r="E15" s="43">
        <f t="shared" si="3"/>
        <v>26343.901139036145</v>
      </c>
      <c r="F15" s="43">
        <f t="shared" si="3"/>
        <v>33471.832771410103</v>
      </c>
      <c r="Q15" s="114"/>
    </row>
    <row r="16" spans="1:17" ht="20.100000000000001" customHeight="1" thickBot="1">
      <c r="A16" s="41" t="s">
        <v>202</v>
      </c>
      <c r="B16" s="42">
        <f>(DEPRES.!D9)</f>
        <v>1359.3810000000001</v>
      </c>
      <c r="C16" s="42">
        <f>(DEPRES.!D9)</f>
        <v>1359.3810000000001</v>
      </c>
      <c r="D16" s="42">
        <f>(DEPRES.!D9)</f>
        <v>1359.3810000000001</v>
      </c>
      <c r="E16" s="42">
        <f>(DEPRES.!D9)</f>
        <v>1359.3810000000001</v>
      </c>
      <c r="F16" s="42">
        <f>(DEPRES.!D9)</f>
        <v>1359.3810000000001</v>
      </c>
    </row>
    <row r="17" spans="1:6" ht="20.100000000000001" customHeight="1" thickBot="1">
      <c r="A17" s="37" t="s">
        <v>211</v>
      </c>
      <c r="B17" s="43">
        <f>(B15-B16)</f>
        <v>2782.3446143615838</v>
      </c>
      <c r="C17" s="43">
        <f t="shared" ref="C17:F17" si="4">(C15-C16)</f>
        <v>10438.390204761585</v>
      </c>
      <c r="D17" s="43">
        <f t="shared" si="4"/>
        <v>17757.38344239358</v>
      </c>
      <c r="E17" s="43">
        <f t="shared" si="4"/>
        <v>24984.520139036144</v>
      </c>
      <c r="F17" s="43">
        <f t="shared" si="4"/>
        <v>32112.451771410102</v>
      </c>
    </row>
  </sheetData>
  <mergeCells count="1">
    <mergeCell ref="A3:C3"/>
  </mergeCells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4:E10"/>
  <sheetViews>
    <sheetView workbookViewId="0">
      <selection activeCell="A4" sqref="A4:D10"/>
    </sheetView>
  </sheetViews>
  <sheetFormatPr baseColWidth="10" defaultRowHeight="15"/>
  <cols>
    <col min="1" max="1" width="8.5703125" customWidth="1"/>
    <col min="2" max="2" width="16.85546875" customWidth="1"/>
    <col min="3" max="3" width="15.140625" customWidth="1"/>
    <col min="4" max="4" width="18.5703125" customWidth="1"/>
  </cols>
  <sheetData>
    <row r="4" spans="1:5" ht="20.100000000000001" customHeight="1">
      <c r="A4" s="116" t="s">
        <v>181</v>
      </c>
      <c r="B4" s="116" t="s">
        <v>212</v>
      </c>
      <c r="C4" s="116" t="s">
        <v>204</v>
      </c>
      <c r="D4" s="116" t="s">
        <v>213</v>
      </c>
      <c r="E4" s="115"/>
    </row>
    <row r="5" spans="1:5" ht="20.100000000000001" customHeight="1">
      <c r="A5" s="8">
        <v>1</v>
      </c>
      <c r="B5" s="112">
        <f>('BAL. PROY. RESUL.'!B17)</f>
        <v>2782.3446143615838</v>
      </c>
      <c r="C5" s="76">
        <f>(DEPRES.!D9)</f>
        <v>1359.3810000000001</v>
      </c>
      <c r="D5" s="112">
        <f>(B5+C5)</f>
        <v>4141.7256143615841</v>
      </c>
    </row>
    <row r="6" spans="1:5" ht="20.100000000000001" customHeight="1">
      <c r="A6" s="8">
        <v>2</v>
      </c>
      <c r="B6" s="112">
        <f>('BAL. PROY. RESUL.'!C17)</f>
        <v>10438.390204761585</v>
      </c>
      <c r="C6" s="76">
        <f>(DEPRES.!D9)</f>
        <v>1359.3810000000001</v>
      </c>
      <c r="D6" s="112">
        <f t="shared" ref="D6:D9" si="0">(B6+C6)</f>
        <v>11797.771204761584</v>
      </c>
    </row>
    <row r="7" spans="1:5" ht="20.100000000000001" customHeight="1">
      <c r="A7" s="8">
        <v>3</v>
      </c>
      <c r="B7" s="112">
        <f>('BAL. PROY. RESUL.'!D17)</f>
        <v>17757.38344239358</v>
      </c>
      <c r="C7" s="76">
        <f>(DEPRES.!D9)</f>
        <v>1359.3810000000001</v>
      </c>
      <c r="D7" s="112">
        <f t="shared" si="0"/>
        <v>19116.764442393582</v>
      </c>
    </row>
    <row r="8" spans="1:5" ht="20.100000000000001" customHeight="1">
      <c r="A8" s="8">
        <v>4</v>
      </c>
      <c r="B8" s="112">
        <f>('BAL. PROY. RESUL.'!E17)</f>
        <v>24984.520139036144</v>
      </c>
      <c r="C8" s="76">
        <f>(DEPRES.!D9)</f>
        <v>1359.3810000000001</v>
      </c>
      <c r="D8" s="112">
        <f t="shared" si="0"/>
        <v>26343.901139036145</v>
      </c>
    </row>
    <row r="9" spans="1:5" ht="20.100000000000001" customHeight="1">
      <c r="A9" s="8">
        <v>5</v>
      </c>
      <c r="B9" s="112">
        <f>('BAL. PROY. RESUL.'!F17)</f>
        <v>32112.451771410102</v>
      </c>
      <c r="C9" s="76">
        <f>(DEPRES.!D9)</f>
        <v>1359.3810000000001</v>
      </c>
      <c r="D9" s="112">
        <f t="shared" si="0"/>
        <v>33471.832771410103</v>
      </c>
    </row>
    <row r="10" spans="1:5" ht="20.100000000000001" customHeight="1">
      <c r="A10" s="117" t="s">
        <v>12</v>
      </c>
      <c r="B10" s="118">
        <f>SUM(B5:B9)</f>
        <v>88075.090171963006</v>
      </c>
      <c r="C10" s="118">
        <f>SUM(C5:C9)</f>
        <v>6796.9050000000007</v>
      </c>
      <c r="D10" s="119">
        <f>SUM(D5:D9)</f>
        <v>94871.99517196299</v>
      </c>
    </row>
  </sheetData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3:G13"/>
  <sheetViews>
    <sheetView workbookViewId="0">
      <selection activeCell="B16" sqref="B16"/>
    </sheetView>
  </sheetViews>
  <sheetFormatPr baseColWidth="10" defaultRowHeight="15"/>
  <cols>
    <col min="1" max="1" width="8.5703125" customWidth="1"/>
    <col min="2" max="2" width="15.42578125" customWidth="1"/>
    <col min="3" max="3" width="14.85546875" customWidth="1"/>
    <col min="4" max="4" width="14.42578125" customWidth="1"/>
  </cols>
  <sheetData>
    <row r="3" spans="1:7">
      <c r="A3" s="175" t="s">
        <v>207</v>
      </c>
      <c r="B3" s="175"/>
      <c r="C3" s="175"/>
      <c r="D3" s="175"/>
    </row>
    <row r="4" spans="1:7">
      <c r="A4" s="111" t="s">
        <v>141</v>
      </c>
      <c r="B4" s="108" t="s">
        <v>206</v>
      </c>
      <c r="C4" s="108" t="s">
        <v>204</v>
      </c>
      <c r="D4" s="108" t="s">
        <v>174</v>
      </c>
      <c r="E4" s="107"/>
      <c r="F4" s="107"/>
      <c r="G4" s="107"/>
    </row>
    <row r="5" spans="1:7">
      <c r="A5" s="109"/>
      <c r="B5" s="109" t="s">
        <v>203</v>
      </c>
      <c r="C5" s="110"/>
      <c r="D5" s="110" t="s">
        <v>205</v>
      </c>
      <c r="E5" s="84"/>
      <c r="F5" s="84"/>
      <c r="G5" s="84"/>
    </row>
    <row r="6" spans="1:7">
      <c r="A6" s="8">
        <v>1</v>
      </c>
      <c r="B6" s="112">
        <f>('FLUJO DE CAJA'!D25)</f>
        <v>7110.5257235591826</v>
      </c>
      <c r="C6" s="112">
        <f>('FLUJO DE CAJA'!C24)</f>
        <v>1359.3810000000001</v>
      </c>
      <c r="D6" s="112">
        <f>(B6-C6)</f>
        <v>5751.1447235591822</v>
      </c>
    </row>
    <row r="7" spans="1:7">
      <c r="A7" s="8">
        <v>2</v>
      </c>
      <c r="B7" s="112">
        <f>('FLUJO DE CAJA'!E25)</f>
        <v>15063.949064023182</v>
      </c>
      <c r="C7" s="112">
        <f>('FLUJO DE CAJA'!D24)</f>
        <v>1359.3810000000001</v>
      </c>
      <c r="D7" s="112">
        <f t="shared" ref="D7:D10" si="0">(B7-C7)</f>
        <v>13704.568064023182</v>
      </c>
    </row>
    <row r="8" spans="1:7">
      <c r="A8" s="8">
        <v>3</v>
      </c>
      <c r="B8" s="112">
        <f>('FLUJO DE CAJA'!F25)</f>
        <v>22933.934271724305</v>
      </c>
      <c r="C8" s="112">
        <f>('FLUJO DE CAJA'!F24)</f>
        <v>1359.3810000000001</v>
      </c>
      <c r="D8" s="112">
        <f t="shared" si="0"/>
        <v>21574.553271724304</v>
      </c>
    </row>
    <row r="9" spans="1:7">
      <c r="A9" s="8">
        <v>4</v>
      </c>
      <c r="B9" s="112">
        <f>('FLUJO DE CAJA'!G25)</f>
        <v>30713.806296041512</v>
      </c>
      <c r="C9" s="112">
        <f>('FLUJO DE CAJA'!F24)</f>
        <v>1359.3810000000001</v>
      </c>
      <c r="D9" s="112">
        <f t="shared" si="0"/>
        <v>29354.425296041511</v>
      </c>
    </row>
    <row r="10" spans="1:7">
      <c r="A10" s="8">
        <v>5</v>
      </c>
      <c r="B10" s="112">
        <f>('FLUJO DE CAJA'!H25)</f>
        <v>40739.622114544916</v>
      </c>
      <c r="C10" s="112">
        <f>('FLUJO DE CAJA'!G24)</f>
        <v>1359.3810000000001</v>
      </c>
      <c r="D10" s="112">
        <f t="shared" si="0"/>
        <v>39380.241114544915</v>
      </c>
    </row>
    <row r="11" spans="1:7">
      <c r="D11" s="107">
        <f>SUM(D6:D10)</f>
        <v>109764.9324698931</v>
      </c>
    </row>
    <row r="13" spans="1:7">
      <c r="C13" t="s">
        <v>208</v>
      </c>
      <c r="D13" s="113">
        <f>(D11/5)</f>
        <v>21952.98649397862</v>
      </c>
    </row>
  </sheetData>
  <mergeCells count="1">
    <mergeCell ref="A3:D3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B3:I25"/>
  <sheetViews>
    <sheetView topLeftCell="A7" workbookViewId="0">
      <selection activeCell="H20" sqref="H20"/>
    </sheetView>
  </sheetViews>
  <sheetFormatPr baseColWidth="10" defaultRowHeight="15"/>
  <cols>
    <col min="2" max="2" width="15.7109375" customWidth="1"/>
    <col min="3" max="3" width="11.5703125" bestFit="1" customWidth="1"/>
    <col min="4" max="4" width="12.85546875" customWidth="1"/>
    <col min="5" max="5" width="11.5703125" bestFit="1" customWidth="1"/>
    <col min="6" max="6" width="12.28515625" bestFit="1" customWidth="1"/>
  </cols>
  <sheetData>
    <row r="3" spans="2:9" ht="15.75" thickBot="1"/>
    <row r="4" spans="2:9" ht="16.5" thickBot="1">
      <c r="B4" s="176" t="s">
        <v>214</v>
      </c>
      <c r="C4" s="177"/>
      <c r="D4" s="177"/>
      <c r="E4" s="177"/>
      <c r="F4" s="178"/>
      <c r="G4" s="120"/>
      <c r="H4" s="121"/>
      <c r="I4" s="121"/>
    </row>
    <row r="5" spans="2:9" ht="15.75">
      <c r="B5" s="122"/>
      <c r="C5" s="123"/>
      <c r="D5" s="123"/>
      <c r="E5" s="123"/>
      <c r="F5" s="124"/>
      <c r="G5" s="120"/>
      <c r="H5" s="121"/>
      <c r="I5" s="121"/>
    </row>
    <row r="6" spans="2:9">
      <c r="B6" s="125" t="s">
        <v>215</v>
      </c>
      <c r="C6" s="126" t="s">
        <v>141</v>
      </c>
      <c r="D6" s="127" t="s">
        <v>216</v>
      </c>
      <c r="E6" s="126" t="s">
        <v>217</v>
      </c>
      <c r="F6" s="128" t="s">
        <v>218</v>
      </c>
      <c r="G6" s="129"/>
      <c r="H6" s="130"/>
      <c r="I6" s="130"/>
    </row>
    <row r="7" spans="2:9">
      <c r="B7" s="125">
        <v>30271.4</v>
      </c>
      <c r="C7" s="131" t="s">
        <v>219</v>
      </c>
      <c r="D7" s="162">
        <f>B7</f>
        <v>30271.4</v>
      </c>
      <c r="E7" s="163">
        <f>B8</f>
        <v>-30271.4</v>
      </c>
      <c r="F7" s="164">
        <f>B8</f>
        <v>-30271.4</v>
      </c>
      <c r="G7" s="129"/>
      <c r="H7" s="130"/>
      <c r="I7" s="130"/>
    </row>
    <row r="8" spans="2:9">
      <c r="B8" s="133">
        <f>-(B7)</f>
        <v>-30271.4</v>
      </c>
      <c r="C8" s="131" t="s">
        <v>112</v>
      </c>
      <c r="D8" s="162">
        <f>('FLUJO DE CAJA'!D25)</f>
        <v>7110.5257235591826</v>
      </c>
      <c r="E8" s="158">
        <v>7110.53</v>
      </c>
      <c r="F8" s="160">
        <f>(E8/(1+0.112)^1)</f>
        <v>6394.3615107913665</v>
      </c>
      <c r="G8" s="120"/>
      <c r="H8" s="121"/>
      <c r="I8" s="121"/>
    </row>
    <row r="9" spans="2:9">
      <c r="B9" s="134"/>
      <c r="C9" s="131" t="s">
        <v>113</v>
      </c>
      <c r="D9" s="162">
        <f>('FLUJO DE CAJA'!E25)</f>
        <v>15063.949064023182</v>
      </c>
      <c r="E9" s="158">
        <v>15063.95</v>
      </c>
      <c r="F9" s="160">
        <f>(E9/(1+0.112)^2)</f>
        <v>12182.300023290718</v>
      </c>
      <c r="G9" s="120"/>
      <c r="H9" s="121"/>
      <c r="I9" s="121"/>
    </row>
    <row r="10" spans="2:9">
      <c r="B10" s="134"/>
      <c r="C10" s="131" t="s">
        <v>114</v>
      </c>
      <c r="D10" s="162">
        <f>('FLUJO DE CAJA'!F25)</f>
        <v>22933.934271724305</v>
      </c>
      <c r="E10" s="158">
        <v>22933.93</v>
      </c>
      <c r="F10" s="160">
        <f>(E10/(1+0.112)^3)</f>
        <v>16678.773880900448</v>
      </c>
      <c r="G10" s="120"/>
      <c r="H10" s="121"/>
      <c r="I10" s="121"/>
    </row>
    <row r="11" spans="2:9">
      <c r="B11" s="134"/>
      <c r="C11" s="131" t="s">
        <v>115</v>
      </c>
      <c r="D11" s="162">
        <f>('FLUJO DE CAJA'!G25)</f>
        <v>30713.806296041512</v>
      </c>
      <c r="E11" s="158">
        <v>30713.81</v>
      </c>
      <c r="F11" s="160">
        <f>(E11/(1+0.112)^4)</f>
        <v>20086.975245084424</v>
      </c>
      <c r="G11" s="120"/>
      <c r="H11" s="121"/>
      <c r="I11" s="121"/>
    </row>
    <row r="12" spans="2:9" ht="15.75" thickBot="1">
      <c r="B12" s="134"/>
      <c r="C12" s="131" t="s">
        <v>116</v>
      </c>
      <c r="D12" s="162">
        <f>('FLUJO DE CAJA'!H22)</f>
        <v>40739.622114544916</v>
      </c>
      <c r="E12" s="158">
        <v>40739.620000000003</v>
      </c>
      <c r="F12" s="160">
        <f>(E12/(1+0.112)^5)</f>
        <v>23960.343371390809</v>
      </c>
      <c r="G12" s="120"/>
      <c r="H12" s="121"/>
      <c r="I12" s="121"/>
    </row>
    <row r="13" spans="2:9" ht="16.5" thickBot="1">
      <c r="B13" s="134"/>
      <c r="C13" s="132"/>
      <c r="D13" s="165" t="s">
        <v>220</v>
      </c>
      <c r="E13" s="166" t="s">
        <v>221</v>
      </c>
      <c r="F13" s="167">
        <f>SUM(F7:F12)</f>
        <v>49031.354031457762</v>
      </c>
      <c r="G13" s="120"/>
      <c r="H13" s="135">
        <f>IRR(E7:E12)</f>
        <v>0.48996420806307556</v>
      </c>
      <c r="I13" s="136" t="s">
        <v>222</v>
      </c>
    </row>
    <row r="14" spans="2:9" ht="15.75" thickBot="1">
      <c r="B14" s="137"/>
      <c r="C14" s="138"/>
      <c r="D14" s="138"/>
      <c r="E14" s="139"/>
      <c r="F14" s="140"/>
      <c r="G14" s="120"/>
      <c r="H14" s="121"/>
      <c r="I14" s="121"/>
    </row>
    <row r="15" spans="2:9" ht="15.75" thickBot="1">
      <c r="B15" s="120"/>
      <c r="C15" s="141"/>
      <c r="D15" s="141"/>
      <c r="E15" s="120"/>
      <c r="F15" s="120"/>
      <c r="G15" s="120"/>
      <c r="H15" s="121"/>
      <c r="I15" s="121"/>
    </row>
    <row r="16" spans="2:9" ht="16.5" thickBot="1">
      <c r="B16" s="179" t="s">
        <v>223</v>
      </c>
      <c r="C16" s="180"/>
      <c r="D16" s="180"/>
      <c r="E16" s="180"/>
      <c r="F16" s="181"/>
      <c r="G16" s="142"/>
      <c r="H16" s="143"/>
      <c r="I16" s="121"/>
    </row>
    <row r="17" spans="2:9">
      <c r="B17" s="144" t="s">
        <v>141</v>
      </c>
      <c r="C17" s="145" t="s">
        <v>217</v>
      </c>
      <c r="D17" s="145" t="s">
        <v>224</v>
      </c>
      <c r="E17" s="145" t="s">
        <v>225</v>
      </c>
      <c r="F17" s="146" t="s">
        <v>226</v>
      </c>
      <c r="G17" s="120"/>
      <c r="H17" s="121"/>
      <c r="I17" s="121"/>
    </row>
    <row r="18" spans="2:9">
      <c r="B18" s="147" t="s">
        <v>219</v>
      </c>
      <c r="C18" s="158">
        <f>F7</f>
        <v>-30271.4</v>
      </c>
      <c r="D18" s="158">
        <f>C18</f>
        <v>-30271.4</v>
      </c>
      <c r="E18" s="158">
        <f>C18</f>
        <v>-30271.4</v>
      </c>
      <c r="F18" s="159">
        <f>C18</f>
        <v>-30271.4</v>
      </c>
      <c r="G18" s="120"/>
      <c r="H18" s="121"/>
      <c r="I18" s="121"/>
    </row>
    <row r="19" spans="2:9">
      <c r="B19" s="147" t="s">
        <v>112</v>
      </c>
      <c r="C19" s="158">
        <f>E8</f>
        <v>7110.53</v>
      </c>
      <c r="D19" s="158">
        <f>(C19/(1+0.48)^1)</f>
        <v>4804.4121621621616</v>
      </c>
      <c r="E19" s="158">
        <f>(C19/(1+0.48)^1)</f>
        <v>4804.4121621621616</v>
      </c>
      <c r="F19" s="160">
        <f>(C19/(1+0.5)^1)</f>
        <v>4740.3533333333335</v>
      </c>
      <c r="G19" s="120"/>
      <c r="H19" s="136"/>
      <c r="I19" s="121"/>
    </row>
    <row r="20" spans="2:9">
      <c r="B20" s="147" t="s">
        <v>113</v>
      </c>
      <c r="C20" s="158">
        <f>E9</f>
        <v>15063.95</v>
      </c>
      <c r="D20" s="158">
        <f>(C20/(1+0.48)^2)</f>
        <v>6877.2598612125648</v>
      </c>
      <c r="E20" s="158">
        <f>(C20/(1+0.48)^2)</f>
        <v>6877.2598612125648</v>
      </c>
      <c r="F20" s="160">
        <f>(C20/(1+0.5)^2)</f>
        <v>6695.0888888888894</v>
      </c>
      <c r="G20" s="120"/>
      <c r="H20" s="121"/>
      <c r="I20" s="121"/>
    </row>
    <row r="21" spans="2:9">
      <c r="B21" s="147" t="s">
        <v>114</v>
      </c>
      <c r="C21" s="158">
        <f>E10</f>
        <v>22933.93</v>
      </c>
      <c r="D21" s="158">
        <f>(C21/(1+0.48)^3)</f>
        <v>7074.4606686672068</v>
      </c>
      <c r="E21" s="158">
        <f>(C21/(1+0.48)^3)</f>
        <v>7074.4606686672068</v>
      </c>
      <c r="F21" s="160">
        <f>(C21/(1+0.5)^3)</f>
        <v>6795.2385185185185</v>
      </c>
      <c r="G21" s="120"/>
      <c r="H21" s="121"/>
      <c r="I21" s="121"/>
    </row>
    <row r="22" spans="2:9">
      <c r="B22" s="147" t="s">
        <v>115</v>
      </c>
      <c r="C22" s="158">
        <f>E11</f>
        <v>30713.81</v>
      </c>
      <c r="D22" s="158">
        <f>(C22/(1+0.48)^4)</f>
        <v>6401.57490805219</v>
      </c>
      <c r="E22" s="158">
        <f>(C22/(1+0.48)^4)</f>
        <v>6401.57490805219</v>
      </c>
      <c r="F22" s="160">
        <f>(C22/(1+0.5)^4)</f>
        <v>6066.9254320987657</v>
      </c>
      <c r="G22" s="148"/>
      <c r="H22" s="149"/>
      <c r="I22" s="149"/>
    </row>
    <row r="23" spans="2:9">
      <c r="B23" s="147" t="s">
        <v>116</v>
      </c>
      <c r="C23" s="158">
        <f>E12</f>
        <v>40739.620000000003</v>
      </c>
      <c r="D23" s="158">
        <f>(C23/(1+0.48)^5)</f>
        <v>5737.3110617627444</v>
      </c>
      <c r="E23" s="158">
        <f>(C23/(1+0.48)^5)</f>
        <v>5737.3110617627444</v>
      </c>
      <c r="F23" s="160">
        <f>(C23/(1+0.5)^5)</f>
        <v>5364.8882304526751</v>
      </c>
      <c r="G23" s="150"/>
      <c r="H23" s="151"/>
      <c r="I23" s="151"/>
    </row>
    <row r="24" spans="2:9">
      <c r="B24" s="152"/>
      <c r="C24" s="161" t="s">
        <v>221</v>
      </c>
      <c r="D24" s="158">
        <f>SUM(D18:D23)</f>
        <v>623.6186618568654</v>
      </c>
      <c r="E24" s="158">
        <f>SUM(E18:E23)</f>
        <v>623.6186618568654</v>
      </c>
      <c r="F24" s="168">
        <f>SUM(F18:F23)</f>
        <v>-608.90559670782113</v>
      </c>
      <c r="G24" s="150"/>
      <c r="H24" s="153"/>
      <c r="I24" s="153"/>
    </row>
    <row r="25" spans="2:9" ht="15.75" thickBot="1">
      <c r="B25" s="154"/>
      <c r="C25" s="155"/>
      <c r="D25" s="156"/>
      <c r="E25" s="156"/>
      <c r="F25" s="157"/>
      <c r="G25" s="148"/>
      <c r="H25" s="149"/>
      <c r="I25" s="149"/>
    </row>
  </sheetData>
  <mergeCells count="2">
    <mergeCell ref="B4:F4"/>
    <mergeCell ref="B16:F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8"/>
  <sheetViews>
    <sheetView workbookViewId="0"/>
  </sheetViews>
  <sheetFormatPr baseColWidth="10" defaultRowHeight="15"/>
  <cols>
    <col min="1" max="1" width="31" customWidth="1"/>
    <col min="2" max="2" width="11.28515625" customWidth="1"/>
    <col min="4" max="4" width="11.5703125" bestFit="1" customWidth="1"/>
    <col min="5" max="5" width="13" customWidth="1"/>
    <col min="6" max="6" width="3.85546875" customWidth="1"/>
  </cols>
  <sheetData>
    <row r="1" spans="1:5" ht="15.75">
      <c r="A1" t="s">
        <v>227</v>
      </c>
      <c r="C1" s="2"/>
      <c r="D1" s="2"/>
      <c r="E1" s="2"/>
    </row>
    <row r="2" spans="1:5" ht="15.75">
      <c r="A2" s="55" t="s">
        <v>173</v>
      </c>
      <c r="B2" s="85" t="s">
        <v>147</v>
      </c>
      <c r="C2" s="85" t="s">
        <v>174</v>
      </c>
      <c r="D2" s="56" t="s">
        <v>174</v>
      </c>
      <c r="E2" s="85" t="s">
        <v>174</v>
      </c>
    </row>
    <row r="3" spans="1:5" ht="15.75">
      <c r="A3" s="57"/>
      <c r="B3" s="27"/>
      <c r="C3" s="86" t="s">
        <v>175</v>
      </c>
      <c r="D3" s="58" t="s">
        <v>176</v>
      </c>
      <c r="E3" s="86" t="s">
        <v>12</v>
      </c>
    </row>
    <row r="4" spans="1:5" ht="15.75">
      <c r="A4" s="82" t="s">
        <v>39</v>
      </c>
      <c r="B4" s="15"/>
      <c r="C4" s="15"/>
      <c r="D4" s="15"/>
      <c r="E4" s="15"/>
    </row>
    <row r="5" spans="1:5" ht="15.75">
      <c r="A5" s="82" t="s">
        <v>200</v>
      </c>
      <c r="B5" s="15"/>
      <c r="C5" s="15"/>
      <c r="D5" s="15"/>
      <c r="E5" s="65">
        <f>(D6+D7)</f>
        <v>11300</v>
      </c>
    </row>
    <row r="6" spans="1:5" ht="15.75">
      <c r="A6" s="15" t="s">
        <v>8</v>
      </c>
      <c r="B6" s="15">
        <v>110</v>
      </c>
      <c r="C6" s="89">
        <v>100</v>
      </c>
      <c r="D6" s="103">
        <f>(B6*C6)</f>
        <v>11000</v>
      </c>
      <c r="E6" s="89"/>
    </row>
    <row r="7" spans="1:5" ht="15.75">
      <c r="A7" s="15" t="s">
        <v>9</v>
      </c>
      <c r="B7" s="15">
        <v>50</v>
      </c>
      <c r="C7" s="89">
        <v>6</v>
      </c>
      <c r="D7" s="89">
        <f>(B7*C7)</f>
        <v>300</v>
      </c>
      <c r="E7" s="89"/>
    </row>
    <row r="8" spans="1:5" ht="15.75">
      <c r="A8" s="82" t="s">
        <v>158</v>
      </c>
      <c r="B8" s="15"/>
      <c r="C8" s="89"/>
      <c r="D8" s="89"/>
      <c r="E8" s="65">
        <f>(D9+D10+D11+D12+D13)</f>
        <v>3973.8</v>
      </c>
    </row>
    <row r="9" spans="1:5" ht="15.75">
      <c r="A9" s="15" t="s">
        <v>159</v>
      </c>
      <c r="B9" s="15">
        <v>1</v>
      </c>
      <c r="C9" s="89">
        <v>75</v>
      </c>
      <c r="D9" s="89">
        <f>(B9*C9)</f>
        <v>75</v>
      </c>
      <c r="E9" s="89"/>
    </row>
    <row r="10" spans="1:5" ht="15.75">
      <c r="A10" s="15" t="s">
        <v>0</v>
      </c>
      <c r="B10" s="15">
        <v>10</v>
      </c>
      <c r="C10" s="89">
        <v>2</v>
      </c>
      <c r="D10" s="89">
        <f>(B10*C10)</f>
        <v>20</v>
      </c>
      <c r="E10" s="89"/>
    </row>
    <row r="11" spans="1:5" ht="15.75">
      <c r="A11" s="15" t="s">
        <v>1</v>
      </c>
      <c r="B11" s="15">
        <v>100</v>
      </c>
      <c r="C11" s="89">
        <v>5</v>
      </c>
      <c r="D11" s="89">
        <f>(B11*C11)</f>
        <v>500</v>
      </c>
      <c r="E11" s="89"/>
    </row>
    <row r="12" spans="1:5" ht="15.75">
      <c r="A12" s="15" t="s">
        <v>160</v>
      </c>
      <c r="B12" s="15">
        <v>20</v>
      </c>
      <c r="C12" s="89">
        <v>5</v>
      </c>
      <c r="D12" s="89">
        <f>(B12*C12)</f>
        <v>100</v>
      </c>
      <c r="E12" s="89"/>
    </row>
    <row r="13" spans="1:5" ht="15.75">
      <c r="A13" s="15" t="s">
        <v>2</v>
      </c>
      <c r="B13" s="15">
        <v>1</v>
      </c>
      <c r="C13" s="89">
        <v>3278.8</v>
      </c>
      <c r="D13" s="103">
        <f>(B13*C13)</f>
        <v>3278.8</v>
      </c>
      <c r="E13" s="89"/>
    </row>
    <row r="14" spans="1:5" ht="15.75">
      <c r="A14" s="82" t="s">
        <v>161</v>
      </c>
      <c r="B14" s="15"/>
      <c r="C14" s="89"/>
      <c r="D14" s="89"/>
      <c r="E14" s="65">
        <f>(D15+D16+D17+D18+D19)</f>
        <v>1136.96</v>
      </c>
    </row>
    <row r="15" spans="1:5" ht="15.75">
      <c r="A15" s="15" t="s">
        <v>3</v>
      </c>
      <c r="B15" s="15">
        <v>2</v>
      </c>
      <c r="C15" s="89">
        <v>335.23</v>
      </c>
      <c r="D15" s="89">
        <f>(B15*C15)</f>
        <v>670.46</v>
      </c>
      <c r="E15" s="89"/>
    </row>
    <row r="16" spans="1:5" ht="15.75">
      <c r="A16" s="15" t="s">
        <v>4</v>
      </c>
      <c r="B16" s="15">
        <v>2</v>
      </c>
      <c r="C16" s="89">
        <v>87</v>
      </c>
      <c r="D16" s="89">
        <f>(B16*C16)</f>
        <v>174</v>
      </c>
      <c r="E16" s="89"/>
    </row>
    <row r="17" spans="1:5" ht="15.75">
      <c r="A17" s="15" t="s">
        <v>162</v>
      </c>
      <c r="B17" s="15">
        <v>1</v>
      </c>
      <c r="C17" s="89">
        <v>52.66</v>
      </c>
      <c r="D17" s="89">
        <f>(B17*C17)</f>
        <v>52.66</v>
      </c>
      <c r="E17" s="89"/>
    </row>
    <row r="18" spans="1:5" ht="15.75">
      <c r="A18" s="15" t="s">
        <v>5</v>
      </c>
      <c r="B18" s="15">
        <v>4</v>
      </c>
      <c r="C18" s="89">
        <v>47.46</v>
      </c>
      <c r="D18" s="89">
        <f>(B18*C18)</f>
        <v>189.84</v>
      </c>
      <c r="E18" s="89"/>
    </row>
    <row r="19" spans="1:5" ht="15.75">
      <c r="A19" s="15" t="s">
        <v>6</v>
      </c>
      <c r="B19" s="15">
        <v>2</v>
      </c>
      <c r="C19" s="89">
        <v>25</v>
      </c>
      <c r="D19" s="89">
        <f>(B19*C19)</f>
        <v>50</v>
      </c>
      <c r="E19" s="89"/>
    </row>
    <row r="20" spans="1:5" ht="15.75">
      <c r="A20" s="82" t="s">
        <v>163</v>
      </c>
      <c r="B20" s="15"/>
      <c r="C20" s="89"/>
      <c r="D20" s="89"/>
      <c r="E20" s="88">
        <f>(D21)</f>
        <v>850</v>
      </c>
    </row>
    <row r="21" spans="1:5" ht="15.75">
      <c r="A21" s="15" t="s">
        <v>164</v>
      </c>
      <c r="B21" s="15">
        <v>1</v>
      </c>
      <c r="C21" s="89">
        <v>850</v>
      </c>
      <c r="D21" s="89">
        <f>(B21*C21)</f>
        <v>850</v>
      </c>
      <c r="E21" s="89"/>
    </row>
    <row r="22" spans="1:5" ht="15.75">
      <c r="A22" s="82" t="s">
        <v>201</v>
      </c>
      <c r="B22" s="15"/>
      <c r="C22" s="89"/>
      <c r="D22" s="89"/>
      <c r="E22" s="65">
        <f>(D23)</f>
        <v>10000</v>
      </c>
    </row>
    <row r="23" spans="1:5" ht="15.75">
      <c r="A23" s="15" t="s">
        <v>7</v>
      </c>
      <c r="B23" s="15">
        <v>10000</v>
      </c>
      <c r="C23" s="89">
        <v>1</v>
      </c>
      <c r="D23" s="103">
        <f>(B23*C23)</f>
        <v>10000</v>
      </c>
      <c r="E23" s="89"/>
    </row>
    <row r="24" spans="1:5" ht="15.75">
      <c r="A24" s="82" t="s">
        <v>165</v>
      </c>
      <c r="B24" s="15"/>
      <c r="C24" s="89"/>
      <c r="D24" s="89"/>
      <c r="E24" s="88">
        <f>(D25+D26+D27)</f>
        <v>500</v>
      </c>
    </row>
    <row r="25" spans="1:5" ht="15.75">
      <c r="A25" s="15" t="s">
        <v>10</v>
      </c>
      <c r="B25" s="15"/>
      <c r="C25" s="89">
        <v>0</v>
      </c>
      <c r="D25" s="89">
        <v>0</v>
      </c>
      <c r="E25" s="89"/>
    </row>
    <row r="26" spans="1:5" ht="15.75">
      <c r="A26" s="15" t="s">
        <v>11</v>
      </c>
      <c r="B26" s="15"/>
      <c r="C26" s="89">
        <v>300</v>
      </c>
      <c r="D26" s="89">
        <f>(C26)</f>
        <v>300</v>
      </c>
      <c r="E26" s="89"/>
    </row>
    <row r="27" spans="1:5" ht="15.75">
      <c r="A27" s="15" t="s">
        <v>166</v>
      </c>
      <c r="B27" s="15"/>
      <c r="C27" s="89">
        <v>200</v>
      </c>
      <c r="D27" s="89">
        <f>(C27)</f>
        <v>200</v>
      </c>
      <c r="E27" s="89"/>
    </row>
    <row r="28" spans="1:5" ht="15.75">
      <c r="A28" s="80" t="s">
        <v>12</v>
      </c>
      <c r="B28" s="15"/>
      <c r="C28" s="89"/>
      <c r="D28" s="89"/>
      <c r="E28" s="65">
        <f>SUM(E4:E27)</f>
        <v>27760.76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7"/>
  <sheetViews>
    <sheetView workbookViewId="0"/>
  </sheetViews>
  <sheetFormatPr baseColWidth="10" defaultRowHeight="15"/>
  <cols>
    <col min="1" max="1" width="24" customWidth="1"/>
    <col min="2" max="2" width="9.140625" customWidth="1"/>
    <col min="3" max="3" width="8.28515625" customWidth="1"/>
    <col min="6" max="6" width="11.7109375" customWidth="1"/>
  </cols>
  <sheetData>
    <row r="1" spans="1:6" ht="15.75">
      <c r="A1" s="17" t="s">
        <v>13</v>
      </c>
      <c r="B1" s="18"/>
      <c r="C1" s="18"/>
      <c r="D1" s="18"/>
      <c r="E1" s="18"/>
      <c r="F1" s="18"/>
    </row>
    <row r="2" spans="1:6" ht="15.95" customHeight="1">
      <c r="A2" s="55" t="s">
        <v>173</v>
      </c>
      <c r="B2" s="85" t="s">
        <v>177</v>
      </c>
      <c r="C2" s="85" t="s">
        <v>147</v>
      </c>
      <c r="D2" s="85" t="s">
        <v>174</v>
      </c>
      <c r="E2" s="56" t="s">
        <v>174</v>
      </c>
      <c r="F2" s="85" t="s">
        <v>174</v>
      </c>
    </row>
    <row r="3" spans="1:6" ht="15.95" customHeight="1">
      <c r="A3" s="61"/>
      <c r="B3" s="86" t="s">
        <v>178</v>
      </c>
      <c r="C3" s="86"/>
      <c r="D3" s="86" t="s">
        <v>175</v>
      </c>
      <c r="E3" s="58" t="s">
        <v>176</v>
      </c>
      <c r="F3" s="86" t="s">
        <v>12</v>
      </c>
    </row>
    <row r="4" spans="1:6" ht="15.95" customHeight="1">
      <c r="A4" s="60" t="s">
        <v>69</v>
      </c>
      <c r="B4" s="52"/>
      <c r="C4" s="52"/>
      <c r="D4" s="53"/>
      <c r="E4" s="53"/>
      <c r="F4" s="54">
        <f>(C5*D5)</f>
        <v>420</v>
      </c>
    </row>
    <row r="5" spans="1:6" ht="15.95" customHeight="1">
      <c r="A5" s="10" t="s">
        <v>14</v>
      </c>
      <c r="B5" s="11"/>
      <c r="C5" s="16">
        <v>2800</v>
      </c>
      <c r="D5" s="12">
        <v>0.15</v>
      </c>
      <c r="E5" s="12">
        <f>(C5*D5)</f>
        <v>420</v>
      </c>
      <c r="F5" s="9"/>
    </row>
    <row r="6" spans="1:6" ht="15.95" customHeight="1">
      <c r="A6" s="13" t="s">
        <v>133</v>
      </c>
      <c r="B6" s="11"/>
      <c r="C6" s="11"/>
      <c r="D6" s="12"/>
      <c r="E6" s="12"/>
      <c r="F6" s="9">
        <f>SUM(E7:E14)</f>
        <v>136.69999999999999</v>
      </c>
    </row>
    <row r="7" spans="1:6" ht="15.95" customHeight="1">
      <c r="A7" s="10" t="s">
        <v>15</v>
      </c>
      <c r="B7" s="11" t="s">
        <v>28</v>
      </c>
      <c r="C7" s="11">
        <v>4</v>
      </c>
      <c r="D7" s="12">
        <v>6.8</v>
      </c>
      <c r="E7" s="12">
        <f t="shared" ref="E7:E22" si="0">(C7*D7)</f>
        <v>27.2</v>
      </c>
      <c r="F7" s="12"/>
    </row>
    <row r="8" spans="1:6" ht="15.95" customHeight="1">
      <c r="A8" s="10" t="s">
        <v>16</v>
      </c>
      <c r="B8" s="11" t="s">
        <v>29</v>
      </c>
      <c r="C8" s="11">
        <v>4</v>
      </c>
      <c r="D8" s="12">
        <v>3.5</v>
      </c>
      <c r="E8" s="12">
        <f t="shared" si="0"/>
        <v>14</v>
      </c>
      <c r="F8" s="12"/>
    </row>
    <row r="9" spans="1:6" ht="15.95" customHeight="1">
      <c r="A9" s="10" t="s">
        <v>17</v>
      </c>
      <c r="B9" s="11" t="s">
        <v>30</v>
      </c>
      <c r="C9" s="11">
        <v>4</v>
      </c>
      <c r="D9" s="12">
        <v>2.75</v>
      </c>
      <c r="E9" s="12">
        <f t="shared" si="0"/>
        <v>11</v>
      </c>
      <c r="F9" s="12"/>
    </row>
    <row r="10" spans="1:6" ht="15.95" customHeight="1">
      <c r="A10" s="10" t="s">
        <v>18</v>
      </c>
      <c r="B10" s="11" t="s">
        <v>31</v>
      </c>
      <c r="C10" s="11">
        <v>4</v>
      </c>
      <c r="D10" s="12">
        <v>3.25</v>
      </c>
      <c r="E10" s="12">
        <f t="shared" si="0"/>
        <v>13</v>
      </c>
      <c r="F10" s="12"/>
    </row>
    <row r="11" spans="1:6" ht="15.95" customHeight="1">
      <c r="A11" s="10" t="s">
        <v>19</v>
      </c>
      <c r="B11" s="11" t="s">
        <v>29</v>
      </c>
      <c r="C11" s="11">
        <v>1</v>
      </c>
      <c r="D11" s="12">
        <v>15.5</v>
      </c>
      <c r="E11" s="12">
        <f t="shared" si="0"/>
        <v>15.5</v>
      </c>
      <c r="F11" s="12"/>
    </row>
    <row r="12" spans="1:6" ht="15.95" customHeight="1">
      <c r="A12" s="10" t="s">
        <v>20</v>
      </c>
      <c r="B12" s="11" t="s">
        <v>30</v>
      </c>
      <c r="C12" s="11">
        <v>4</v>
      </c>
      <c r="D12" s="12">
        <v>3.5</v>
      </c>
      <c r="E12" s="12">
        <f t="shared" si="0"/>
        <v>14</v>
      </c>
      <c r="F12" s="9"/>
    </row>
    <row r="13" spans="1:6" ht="15.95" customHeight="1">
      <c r="A13" s="10" t="s">
        <v>21</v>
      </c>
      <c r="B13" s="11" t="s">
        <v>28</v>
      </c>
      <c r="C13" s="11">
        <v>4</v>
      </c>
      <c r="D13" s="12">
        <v>7.5</v>
      </c>
      <c r="E13" s="12">
        <f t="shared" si="0"/>
        <v>30</v>
      </c>
      <c r="F13" s="12"/>
    </row>
    <row r="14" spans="1:6" ht="15.95" customHeight="1">
      <c r="A14" s="10" t="s">
        <v>22</v>
      </c>
      <c r="B14" s="11" t="s">
        <v>30</v>
      </c>
      <c r="C14" s="11">
        <v>3</v>
      </c>
      <c r="D14" s="12">
        <v>4</v>
      </c>
      <c r="E14" s="12">
        <f t="shared" si="0"/>
        <v>12</v>
      </c>
      <c r="F14" s="12"/>
    </row>
    <row r="15" spans="1:6" ht="15.95" customHeight="1">
      <c r="A15" s="13" t="s">
        <v>134</v>
      </c>
      <c r="B15" s="11"/>
      <c r="C15" s="11"/>
      <c r="D15" s="12"/>
      <c r="E15" s="12"/>
      <c r="F15" s="9">
        <f>SUM(E16:E19)</f>
        <v>1200</v>
      </c>
    </row>
    <row r="16" spans="1:6" ht="15.95" customHeight="1">
      <c r="A16" s="14" t="s">
        <v>36</v>
      </c>
      <c r="B16" s="11"/>
      <c r="C16" s="11">
        <v>1</v>
      </c>
      <c r="D16" s="12">
        <v>50</v>
      </c>
      <c r="E16" s="12">
        <f t="shared" si="0"/>
        <v>50</v>
      </c>
      <c r="F16" s="12"/>
    </row>
    <row r="17" spans="1:6" ht="15.95" customHeight="1">
      <c r="A17" s="14" t="s">
        <v>37</v>
      </c>
      <c r="B17" s="11"/>
      <c r="C17" s="11">
        <v>1</v>
      </c>
      <c r="D17" s="12">
        <v>50</v>
      </c>
      <c r="E17" s="12">
        <f t="shared" si="0"/>
        <v>50</v>
      </c>
      <c r="F17" s="12"/>
    </row>
    <row r="18" spans="1:6" ht="15.95" customHeight="1">
      <c r="A18" s="10" t="s">
        <v>125</v>
      </c>
      <c r="B18" s="11"/>
      <c r="C18" s="11">
        <v>1</v>
      </c>
      <c r="D18" s="12">
        <v>100</v>
      </c>
      <c r="E18" s="12">
        <f t="shared" si="0"/>
        <v>100</v>
      </c>
      <c r="F18" s="9"/>
    </row>
    <row r="19" spans="1:6" ht="15.95" customHeight="1">
      <c r="A19" s="10" t="s">
        <v>126</v>
      </c>
      <c r="B19" s="11"/>
      <c r="C19" s="11">
        <v>4</v>
      </c>
      <c r="D19" s="12">
        <v>250</v>
      </c>
      <c r="E19" s="12">
        <f t="shared" si="0"/>
        <v>1000</v>
      </c>
      <c r="F19" s="12"/>
    </row>
    <row r="20" spans="1:6" ht="15.95" customHeight="1">
      <c r="A20" s="13" t="s">
        <v>135</v>
      </c>
      <c r="B20" s="11"/>
      <c r="C20" s="11"/>
      <c r="D20" s="12"/>
      <c r="E20" s="12"/>
      <c r="F20" s="9">
        <f>SUM(E21:E26)</f>
        <v>753.94</v>
      </c>
    </row>
    <row r="21" spans="1:6" ht="15.95" customHeight="1">
      <c r="A21" s="10" t="s">
        <v>23</v>
      </c>
      <c r="B21" s="11" t="s">
        <v>32</v>
      </c>
      <c r="C21" s="11">
        <v>20</v>
      </c>
      <c r="D21" s="12">
        <v>24</v>
      </c>
      <c r="E21" s="12">
        <f t="shared" si="0"/>
        <v>480</v>
      </c>
      <c r="F21" s="12"/>
    </row>
    <row r="22" spans="1:6" ht="15.95" customHeight="1">
      <c r="A22" s="10" t="s">
        <v>24</v>
      </c>
      <c r="B22" s="11" t="s">
        <v>32</v>
      </c>
      <c r="C22" s="11">
        <v>2</v>
      </c>
      <c r="D22" s="12">
        <v>16.97</v>
      </c>
      <c r="E22" s="12">
        <f t="shared" si="0"/>
        <v>33.94</v>
      </c>
      <c r="F22" s="59"/>
    </row>
    <row r="23" spans="1:6" ht="15.95" customHeight="1">
      <c r="A23" s="10" t="s">
        <v>25</v>
      </c>
      <c r="B23" s="11" t="s">
        <v>33</v>
      </c>
      <c r="C23" s="11"/>
      <c r="D23" s="12">
        <v>30</v>
      </c>
      <c r="E23" s="12">
        <f>D23</f>
        <v>30</v>
      </c>
      <c r="F23" s="59"/>
    </row>
    <row r="24" spans="1:6" ht="15.95" customHeight="1">
      <c r="A24" s="10" t="s">
        <v>26</v>
      </c>
      <c r="B24" s="11" t="s">
        <v>34</v>
      </c>
      <c r="C24" s="11"/>
      <c r="D24" s="12">
        <v>20</v>
      </c>
      <c r="E24" s="12">
        <f>D24</f>
        <v>20</v>
      </c>
      <c r="F24" s="59"/>
    </row>
    <row r="25" spans="1:6" ht="15.95" customHeight="1">
      <c r="A25" s="10" t="s">
        <v>6</v>
      </c>
      <c r="B25" s="11" t="s">
        <v>35</v>
      </c>
      <c r="C25" s="11"/>
      <c r="D25" s="12">
        <v>40</v>
      </c>
      <c r="E25" s="12">
        <f>D25</f>
        <v>40</v>
      </c>
      <c r="F25" s="59"/>
    </row>
    <row r="26" spans="1:6" ht="15.95" customHeight="1">
      <c r="A26" s="10" t="s">
        <v>27</v>
      </c>
      <c r="B26" s="11" t="s">
        <v>35</v>
      </c>
      <c r="C26" s="11"/>
      <c r="D26" s="12">
        <v>150</v>
      </c>
      <c r="E26" s="12">
        <f>D26</f>
        <v>150</v>
      </c>
      <c r="F26" s="59"/>
    </row>
    <row r="27" spans="1:6" ht="15.95" customHeight="1">
      <c r="A27" s="13" t="s">
        <v>12</v>
      </c>
      <c r="B27" s="13"/>
      <c r="C27" s="13"/>
      <c r="D27" s="9"/>
      <c r="E27" s="9"/>
      <c r="F27" s="9">
        <f>SUM(F4:F26)</f>
        <v>2510.6400000000003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B3" sqref="B3"/>
    </sheetView>
  </sheetViews>
  <sheetFormatPr baseColWidth="10" defaultRowHeight="15"/>
  <cols>
    <col min="1" max="1" width="28.85546875" customWidth="1"/>
    <col min="2" max="2" width="21.140625" customWidth="1"/>
  </cols>
  <sheetData>
    <row r="1" spans="1:2" ht="15.75">
      <c r="A1" s="1" t="s">
        <v>38</v>
      </c>
    </row>
    <row r="2" spans="1:2" ht="15.75">
      <c r="A2" s="46" t="s">
        <v>66</v>
      </c>
      <c r="B2" s="46" t="s">
        <v>179</v>
      </c>
    </row>
    <row r="3" spans="1:2" ht="20.25" customHeight="1">
      <c r="A3" s="10" t="s">
        <v>39</v>
      </c>
      <c r="B3" s="21">
        <f>('INV. FIJA'!E28)</f>
        <v>27760.76</v>
      </c>
    </row>
    <row r="4" spans="1:2" ht="18" customHeight="1">
      <c r="A4" s="10" t="s">
        <v>40</v>
      </c>
      <c r="B4" s="21">
        <f>('CAP. TRAB.'!F27)</f>
        <v>2510.6400000000003</v>
      </c>
    </row>
    <row r="5" spans="1:2" ht="15.75">
      <c r="A5" s="51" t="s">
        <v>41</v>
      </c>
      <c r="B5" s="23">
        <f>SUM(B3:B4)</f>
        <v>30271.399999999998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E17"/>
  <sheetViews>
    <sheetView workbookViewId="0">
      <selection activeCell="F16" sqref="F16"/>
    </sheetView>
  </sheetViews>
  <sheetFormatPr baseColWidth="10" defaultRowHeight="15"/>
  <cols>
    <col min="1" max="1" width="22.7109375" customWidth="1"/>
    <col min="2" max="2" width="13.7109375" customWidth="1"/>
    <col min="3" max="3" width="11.7109375" customWidth="1"/>
    <col min="4" max="4" width="12.28515625" customWidth="1"/>
  </cols>
  <sheetData>
    <row r="3" spans="1:5" ht="15.75">
      <c r="A3" s="80" t="s">
        <v>146</v>
      </c>
      <c r="B3" s="80" t="s">
        <v>180</v>
      </c>
      <c r="C3" s="80" t="s">
        <v>42</v>
      </c>
      <c r="D3" s="80" t="s">
        <v>12</v>
      </c>
      <c r="E3" s="2"/>
    </row>
    <row r="4" spans="1:5" ht="15.75">
      <c r="A4" s="15" t="s">
        <v>8</v>
      </c>
      <c r="B4" s="103">
        <f>('INV. FIJA'!D6)</f>
        <v>11000</v>
      </c>
      <c r="C4" s="15">
        <v>5</v>
      </c>
      <c r="D4" s="89">
        <f>(B4*C4%)</f>
        <v>550</v>
      </c>
      <c r="E4" s="2"/>
    </row>
    <row r="5" spans="1:5" ht="15.75">
      <c r="A5" s="15" t="s">
        <v>9</v>
      </c>
      <c r="B5" s="89">
        <f>('INV. FIJA'!D7)</f>
        <v>300</v>
      </c>
      <c r="C5" s="15">
        <v>5</v>
      </c>
      <c r="D5" s="89">
        <f t="shared" ref="D5:D8" si="0">(B5*C5%)</f>
        <v>15</v>
      </c>
      <c r="E5" s="2"/>
    </row>
    <row r="6" spans="1:5" ht="15.75">
      <c r="A6" s="15" t="s">
        <v>158</v>
      </c>
      <c r="B6" s="103">
        <f>('INV. FIJA'!E8)</f>
        <v>3973.8</v>
      </c>
      <c r="C6" s="15">
        <v>10</v>
      </c>
      <c r="D6" s="15">
        <f t="shared" si="0"/>
        <v>397.38000000000005</v>
      </c>
      <c r="E6" s="2"/>
    </row>
    <row r="7" spans="1:5" ht="15.75">
      <c r="A7" s="15" t="s">
        <v>43</v>
      </c>
      <c r="B7" s="103">
        <f>('INV. FIJA'!E14)</f>
        <v>1136.96</v>
      </c>
      <c r="C7" s="15">
        <v>10</v>
      </c>
      <c r="D7" s="89">
        <f t="shared" si="0"/>
        <v>113.69600000000001</v>
      </c>
      <c r="E7" s="2"/>
    </row>
    <row r="8" spans="1:5" ht="15.75">
      <c r="A8" s="15" t="s">
        <v>163</v>
      </c>
      <c r="B8" s="89">
        <f>('INV. FIJA'!E20)</f>
        <v>850</v>
      </c>
      <c r="C8" s="15">
        <v>33.33</v>
      </c>
      <c r="D8" s="89">
        <f t="shared" si="0"/>
        <v>283.30500000000001</v>
      </c>
      <c r="E8" s="2"/>
    </row>
    <row r="9" spans="1:5" ht="15.75">
      <c r="A9" s="91" t="s">
        <v>12</v>
      </c>
      <c r="B9" s="15"/>
      <c r="C9" s="15"/>
      <c r="D9" s="88">
        <f>SUM(D4:D8)</f>
        <v>1359.3810000000001</v>
      </c>
      <c r="E9" s="2"/>
    </row>
    <row r="10" spans="1:5" ht="15.75">
      <c r="A10" s="2"/>
      <c r="B10" s="2"/>
      <c r="C10" s="2"/>
      <c r="D10" s="2"/>
      <c r="E10" s="2"/>
    </row>
    <row r="11" spans="1:5" ht="15.75">
      <c r="A11" s="2"/>
      <c r="B11" s="2"/>
      <c r="C11" s="2"/>
      <c r="D11" s="2"/>
      <c r="E11" s="2"/>
    </row>
    <row r="12" spans="1:5" ht="15.75">
      <c r="A12" s="2"/>
      <c r="B12" s="2"/>
      <c r="C12" s="2"/>
      <c r="D12" s="2"/>
      <c r="E12" s="2"/>
    </row>
    <row r="13" spans="1:5" ht="15.75">
      <c r="A13" s="2"/>
      <c r="B13" s="2"/>
      <c r="C13" s="2"/>
      <c r="D13" s="2"/>
      <c r="E13" s="2"/>
    </row>
    <row r="14" spans="1:5" ht="15.75">
      <c r="A14" s="2"/>
      <c r="B14" s="2"/>
      <c r="C14" s="2"/>
      <c r="D14" s="2"/>
      <c r="E14" s="2"/>
    </row>
    <row r="15" spans="1:5" ht="15.75">
      <c r="A15" s="2"/>
      <c r="B15" s="2"/>
      <c r="C15" s="2"/>
      <c r="D15" s="2"/>
      <c r="E15" s="2"/>
    </row>
    <row r="16" spans="1:5" ht="15.75">
      <c r="A16" s="2"/>
      <c r="B16" s="2"/>
      <c r="C16" s="2"/>
      <c r="D16" s="2"/>
      <c r="E16" s="2"/>
    </row>
    <row r="17" spans="1:5" ht="15.75">
      <c r="A17" s="2"/>
      <c r="B17" s="2"/>
      <c r="C17" s="2"/>
      <c r="D17" s="2"/>
      <c r="E17" s="2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9"/>
  <sheetViews>
    <sheetView tabSelected="1" workbookViewId="0">
      <selection activeCell="B22" sqref="B22"/>
    </sheetView>
  </sheetViews>
  <sheetFormatPr baseColWidth="10" defaultRowHeight="15"/>
  <cols>
    <col min="1" max="1" width="12.42578125" customWidth="1"/>
    <col min="2" max="2" width="19.5703125" customWidth="1"/>
    <col min="3" max="3" width="17" customWidth="1"/>
    <col min="4" max="4" width="13.140625" customWidth="1"/>
    <col min="5" max="5" width="16.42578125" customWidth="1"/>
  </cols>
  <sheetData>
    <row r="1" spans="1:7" ht="15.75">
      <c r="A1" s="2"/>
      <c r="B1" s="2"/>
      <c r="C1" s="2"/>
      <c r="D1" s="2"/>
      <c r="E1" s="2"/>
      <c r="F1" s="2"/>
    </row>
    <row r="2" spans="1:7" ht="15.75">
      <c r="A2" s="2"/>
      <c r="B2" s="2"/>
      <c r="C2" s="2"/>
      <c r="D2" s="2"/>
      <c r="E2" s="2"/>
      <c r="F2" s="2"/>
    </row>
    <row r="3" spans="1:7" ht="31.5" customHeight="1">
      <c r="A3" s="92" t="s">
        <v>154</v>
      </c>
      <c r="B3" s="93">
        <v>18162.84</v>
      </c>
      <c r="C3" s="94" t="s">
        <v>149</v>
      </c>
      <c r="D3" s="2"/>
      <c r="E3" s="2"/>
      <c r="F3" s="2"/>
      <c r="G3" s="90"/>
    </row>
    <row r="4" spans="1:7" ht="15.75">
      <c r="A4" s="94" t="s">
        <v>150</v>
      </c>
      <c r="B4" s="95">
        <v>5</v>
      </c>
      <c r="C4" s="94" t="s">
        <v>149</v>
      </c>
      <c r="D4" s="2"/>
      <c r="E4" s="2"/>
      <c r="F4" s="2"/>
      <c r="G4" s="90"/>
    </row>
    <row r="5" spans="1:7" ht="15.75">
      <c r="A5" s="94" t="s">
        <v>151</v>
      </c>
      <c r="B5" s="96">
        <v>0.18</v>
      </c>
      <c r="C5" s="94" t="s">
        <v>152</v>
      </c>
      <c r="D5" s="2"/>
      <c r="E5" s="2"/>
      <c r="F5" s="2"/>
      <c r="G5" s="90"/>
    </row>
    <row r="6" spans="1:7" ht="15.75">
      <c r="A6" s="94" t="s">
        <v>153</v>
      </c>
      <c r="B6" s="93">
        <f>PMT(B5,B4,-B3)</f>
        <v>5808.0737760640277</v>
      </c>
      <c r="C6" s="2"/>
      <c r="D6" s="2"/>
      <c r="E6" s="2"/>
      <c r="F6" s="2"/>
      <c r="G6" s="90"/>
    </row>
    <row r="7" spans="1:7" ht="15.75">
      <c r="A7" s="2"/>
      <c r="B7" s="2"/>
      <c r="C7" s="2"/>
      <c r="D7" s="2"/>
      <c r="E7" s="2"/>
      <c r="F7" s="2"/>
      <c r="G7" s="90"/>
    </row>
    <row r="8" spans="1:7" ht="15.75">
      <c r="A8" s="97" t="s">
        <v>181</v>
      </c>
      <c r="B8" s="97" t="s">
        <v>182</v>
      </c>
      <c r="C8" s="97" t="s">
        <v>183</v>
      </c>
      <c r="D8" s="97" t="s">
        <v>184</v>
      </c>
      <c r="E8" s="97" t="s">
        <v>185</v>
      </c>
      <c r="F8" s="80" t="s">
        <v>186</v>
      </c>
      <c r="G8" s="90"/>
    </row>
    <row r="9" spans="1:7" ht="15.75">
      <c r="A9" s="98">
        <v>1</v>
      </c>
      <c r="B9" s="99">
        <f>B3</f>
        <v>18162.84</v>
      </c>
      <c r="C9" s="99">
        <f>B9*$B$5</f>
        <v>3269.3112000000001</v>
      </c>
      <c r="D9" s="99">
        <f>$B$6-C9</f>
        <v>2538.7625760640276</v>
      </c>
      <c r="E9" s="99">
        <f>B9-D9</f>
        <v>15624.077423935973</v>
      </c>
      <c r="F9" s="100">
        <f>C9+D9</f>
        <v>5808.0737760640277</v>
      </c>
      <c r="G9" s="90"/>
    </row>
    <row r="10" spans="1:7" ht="15.75">
      <c r="A10" s="98">
        <v>2</v>
      </c>
      <c r="B10" s="99">
        <f>IF(AND(A10&gt;0,A10&lt;=$B$4),E9,"  ")</f>
        <v>15624.077423935973</v>
      </c>
      <c r="C10" s="99">
        <f>IF(AND(A10&gt;0,A10&lt;=$B$4),B10*$B$5,"   ")</f>
        <v>2812.3339363084751</v>
      </c>
      <c r="D10" s="99">
        <f>IF(AND(A10&gt;0,A10&lt;=$B$4),$B$6-C10,"  ")</f>
        <v>2995.7398397555526</v>
      </c>
      <c r="E10" s="99">
        <f>IF(AND(A10&gt;0,A10&lt;=$B$4),B10-D10,"  ")</f>
        <v>12628.337584180419</v>
      </c>
      <c r="F10" s="100">
        <f>C10+D10</f>
        <v>5808.0737760640277</v>
      </c>
      <c r="G10" s="90"/>
    </row>
    <row r="11" spans="1:7" ht="15.75">
      <c r="A11" s="98">
        <v>3</v>
      </c>
      <c r="B11" s="99">
        <f>IF(AND(A11&gt;0,A11&lt;=$B$4),E10,"  ")</f>
        <v>12628.337584180419</v>
      </c>
      <c r="C11" s="99">
        <f>IF(AND(A11&gt;0,A11&lt;=$B$4),B11*$B$5,"   ")</f>
        <v>2273.1007651524756</v>
      </c>
      <c r="D11" s="99">
        <f>IF(AND(A11&gt;0,A11&lt;=$B$4),$B$6-C11,"  ")</f>
        <v>3534.9730109115521</v>
      </c>
      <c r="E11" s="99">
        <f>IF(AND(A11&gt;0,A11&lt;=$B$4),B11-D11,"  ")</f>
        <v>9093.3645732688674</v>
      </c>
      <c r="F11" s="100">
        <f>C11+D11</f>
        <v>5808.0737760640277</v>
      </c>
      <c r="G11" s="90"/>
    </row>
    <row r="12" spans="1:7" ht="15.75">
      <c r="A12" s="98">
        <v>4</v>
      </c>
      <c r="B12" s="99">
        <f>IF(AND(A12&gt;0,A12&lt;=$B$4),E11,"  ")</f>
        <v>9093.3645732688674</v>
      </c>
      <c r="C12" s="99">
        <f>IF(AND(A12&gt;0,A12&lt;=$B$4),B12*$B$5,"   ")</f>
        <v>1636.8056231883961</v>
      </c>
      <c r="D12" s="99">
        <f>IF(AND(A12&gt;0,A12&lt;=$B$4),$B$6-C12,"  ")</f>
        <v>4171.2681528756311</v>
      </c>
      <c r="E12" s="99">
        <f>IF(AND(A12&gt;0,A12&lt;=$B$4),B12-D12,"  ")</f>
        <v>4922.0964203932363</v>
      </c>
      <c r="F12" s="100">
        <f>C12+D12</f>
        <v>5808.0737760640277</v>
      </c>
      <c r="G12" s="90"/>
    </row>
    <row r="13" spans="1:7" ht="15.75">
      <c r="A13" s="98">
        <v>5</v>
      </c>
      <c r="B13" s="99">
        <f>IF(AND(A13&gt;0,A13&lt;=$B$4),E12,"  ")</f>
        <v>4922.0964203932363</v>
      </c>
      <c r="C13" s="99">
        <f>IF(AND(A13&gt;0,A13&lt;=$B$4),B13*$B$5,"   ")</f>
        <v>885.97735567078246</v>
      </c>
      <c r="D13" s="99">
        <f>IF(AND(A13&gt;0,A13&lt;=$B$4),$B$6-C13,"  ")</f>
        <v>4922.0964203932454</v>
      </c>
      <c r="E13" s="99">
        <f>IF(AND(A13&gt;0,A13&lt;=$B$4),B13-D13,"  ")</f>
        <v>-9.0949470177292824E-12</v>
      </c>
      <c r="F13" s="100"/>
      <c r="G13" s="90"/>
    </row>
    <row r="14" spans="1:7" ht="15.75">
      <c r="A14" s="95"/>
      <c r="B14" s="95"/>
      <c r="C14" s="95"/>
      <c r="D14" s="95"/>
      <c r="E14" s="95"/>
      <c r="F14" s="2"/>
      <c r="G14" s="90"/>
    </row>
    <row r="15" spans="1:7" ht="15.75">
      <c r="A15" s="95"/>
      <c r="B15" s="101"/>
      <c r="C15" s="101"/>
      <c r="D15" s="101"/>
      <c r="E15" s="101"/>
      <c r="F15" s="102"/>
      <c r="G15" s="90"/>
    </row>
    <row r="16" spans="1:7" ht="15.75">
      <c r="A16" s="183" t="s">
        <v>228</v>
      </c>
      <c r="B16" s="184"/>
      <c r="C16" s="101"/>
      <c r="D16" s="101"/>
      <c r="E16" s="101"/>
      <c r="F16" s="102"/>
    </row>
    <row r="17" spans="1:6" ht="15.75">
      <c r="A17" s="183" t="s">
        <v>229</v>
      </c>
      <c r="B17" s="184"/>
      <c r="C17" s="101"/>
      <c r="D17" s="101"/>
      <c r="E17" s="101"/>
      <c r="F17" s="102"/>
    </row>
    <row r="18" spans="1:6">
      <c r="A18" s="185" t="s">
        <v>230</v>
      </c>
      <c r="B18" s="186"/>
      <c r="C18" s="83"/>
      <c r="D18" s="83"/>
      <c r="E18" s="83"/>
    </row>
    <row r="19" spans="1:6">
      <c r="A19" s="182"/>
      <c r="B19" s="182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F19"/>
  <sheetViews>
    <sheetView workbookViewId="0">
      <selection activeCell="F19" sqref="F19"/>
    </sheetView>
  </sheetViews>
  <sheetFormatPr baseColWidth="10" defaultRowHeight="15"/>
  <cols>
    <col min="1" max="1" width="32.7109375" customWidth="1"/>
    <col min="2" max="2" width="10.42578125" customWidth="1"/>
    <col min="3" max="3" width="11.140625" customWidth="1"/>
    <col min="4" max="4" width="14.7109375" customWidth="1"/>
    <col min="5" max="5" width="12.5703125" customWidth="1"/>
  </cols>
  <sheetData>
    <row r="3" spans="1:6" ht="15.75">
      <c r="A3" s="1" t="s">
        <v>44</v>
      </c>
    </row>
    <row r="4" spans="1:6" ht="15.95" customHeight="1">
      <c r="A4" s="85" t="s">
        <v>173</v>
      </c>
      <c r="B4" s="169" t="s">
        <v>187</v>
      </c>
      <c r="C4" s="85" t="s">
        <v>147</v>
      </c>
      <c r="D4" s="85" t="s">
        <v>174</v>
      </c>
      <c r="E4" s="85" t="s">
        <v>174</v>
      </c>
      <c r="F4" s="85" t="s">
        <v>174</v>
      </c>
    </row>
    <row r="5" spans="1:6" ht="15.95" customHeight="1">
      <c r="A5" s="47"/>
      <c r="B5" s="170"/>
      <c r="C5" s="47"/>
      <c r="D5" s="86" t="s">
        <v>175</v>
      </c>
      <c r="E5" s="86" t="s">
        <v>176</v>
      </c>
      <c r="F5" s="86" t="s">
        <v>188</v>
      </c>
    </row>
    <row r="6" spans="1:6" ht="15.95" customHeight="1">
      <c r="A6" s="51" t="s">
        <v>69</v>
      </c>
      <c r="B6" s="11"/>
      <c r="C6" s="49"/>
      <c r="D6" s="49"/>
      <c r="E6" s="49"/>
      <c r="F6" s="23">
        <f>(C7*D7)</f>
        <v>420</v>
      </c>
    </row>
    <row r="7" spans="1:6" ht="15.95" customHeight="1">
      <c r="A7" s="14" t="s">
        <v>14</v>
      </c>
      <c r="B7" s="11"/>
      <c r="C7" s="62">
        <v>2800</v>
      </c>
      <c r="D7" s="50">
        <v>0.15</v>
      </c>
      <c r="E7" s="50">
        <f>(C7*D7)</f>
        <v>420</v>
      </c>
      <c r="F7" s="22"/>
    </row>
    <row r="8" spans="1:6" ht="15.95" customHeight="1">
      <c r="A8" s="14" t="s">
        <v>136</v>
      </c>
      <c r="B8" s="11"/>
      <c r="C8" s="49"/>
      <c r="D8" s="49"/>
      <c r="E8" s="49"/>
      <c r="F8" s="23">
        <f>((E9+E10)*12)</f>
        <v>12600</v>
      </c>
    </row>
    <row r="9" spans="1:6" ht="15.95" customHeight="1">
      <c r="A9" s="14" t="s">
        <v>45</v>
      </c>
      <c r="B9" s="11"/>
      <c r="C9" s="49">
        <v>1</v>
      </c>
      <c r="D9" s="50">
        <v>50</v>
      </c>
      <c r="E9" s="50">
        <v>50</v>
      </c>
      <c r="F9" s="49"/>
    </row>
    <row r="10" spans="1:6" ht="15.95" customHeight="1">
      <c r="A10" s="14" t="s">
        <v>127</v>
      </c>
      <c r="B10" s="11"/>
      <c r="C10" s="49">
        <v>4</v>
      </c>
      <c r="D10" s="50">
        <v>250</v>
      </c>
      <c r="E10" s="50">
        <f>(C10*D10)</f>
        <v>1000</v>
      </c>
      <c r="F10" s="49"/>
    </row>
    <row r="11" spans="1:6" ht="15.95" customHeight="1">
      <c r="A11" s="14" t="s">
        <v>137</v>
      </c>
      <c r="B11" s="11"/>
      <c r="C11" s="49"/>
      <c r="D11" s="49"/>
      <c r="E11" s="49"/>
      <c r="F11" s="48">
        <f>(E12+E13+E14+E15+E16+E17+E18)</f>
        <v>951.25</v>
      </c>
    </row>
    <row r="12" spans="1:6" ht="15.95" customHeight="1">
      <c r="A12" s="14" t="s">
        <v>46</v>
      </c>
      <c r="B12" s="11"/>
      <c r="C12" s="49">
        <v>250</v>
      </c>
      <c r="D12" s="49">
        <v>0.08</v>
      </c>
      <c r="E12" s="50">
        <f>(C12*D12)</f>
        <v>20</v>
      </c>
      <c r="F12" s="22"/>
    </row>
    <row r="13" spans="1:6" ht="15.95" customHeight="1">
      <c r="A13" s="14" t="s">
        <v>167</v>
      </c>
      <c r="B13" s="11" t="s">
        <v>50</v>
      </c>
      <c r="C13" s="49">
        <v>100</v>
      </c>
      <c r="D13" s="50">
        <v>1.1000000000000001</v>
      </c>
      <c r="E13" s="50">
        <f t="shared" ref="E13:E18" si="0">(C13*D13)</f>
        <v>110.00000000000001</v>
      </c>
      <c r="F13" s="22"/>
    </row>
    <row r="14" spans="1:6" ht="15.95" customHeight="1">
      <c r="A14" s="14" t="s">
        <v>47</v>
      </c>
      <c r="B14" s="11" t="s">
        <v>51</v>
      </c>
      <c r="C14" s="49">
        <v>500</v>
      </c>
      <c r="D14" s="50">
        <v>1.5</v>
      </c>
      <c r="E14" s="50">
        <f t="shared" si="0"/>
        <v>750</v>
      </c>
      <c r="F14" s="22"/>
    </row>
    <row r="15" spans="1:6" ht="15.95" customHeight="1">
      <c r="A15" s="14" t="s">
        <v>48</v>
      </c>
      <c r="B15" s="11" t="s">
        <v>52</v>
      </c>
      <c r="C15" s="49">
        <v>5</v>
      </c>
      <c r="D15" s="49">
        <v>2.25</v>
      </c>
      <c r="E15" s="50">
        <f t="shared" si="0"/>
        <v>11.25</v>
      </c>
      <c r="F15" s="22"/>
    </row>
    <row r="16" spans="1:6" ht="15.95" customHeight="1">
      <c r="A16" s="14" t="s">
        <v>169</v>
      </c>
      <c r="B16" s="11"/>
      <c r="C16" s="49">
        <v>10</v>
      </c>
      <c r="D16" s="50">
        <v>2</v>
      </c>
      <c r="E16" s="50">
        <f t="shared" si="0"/>
        <v>20</v>
      </c>
      <c r="F16" s="22"/>
    </row>
    <row r="17" spans="1:6" ht="15.95" customHeight="1">
      <c r="A17" s="14" t="s">
        <v>168</v>
      </c>
      <c r="B17" s="63"/>
      <c r="C17" s="49">
        <v>6</v>
      </c>
      <c r="D17" s="50">
        <v>2</v>
      </c>
      <c r="E17" s="50">
        <f t="shared" si="0"/>
        <v>12</v>
      </c>
      <c r="F17" s="22"/>
    </row>
    <row r="18" spans="1:6" ht="15.95" customHeight="1">
      <c r="A18" s="14" t="s">
        <v>49</v>
      </c>
      <c r="B18" s="63"/>
      <c r="C18" s="62">
        <v>2800</v>
      </c>
      <c r="D18" s="49">
        <v>0.01</v>
      </c>
      <c r="E18" s="50">
        <f t="shared" si="0"/>
        <v>28</v>
      </c>
      <c r="F18" s="22"/>
    </row>
    <row r="19" spans="1:6" ht="15.95" customHeight="1">
      <c r="A19" s="28" t="s">
        <v>12</v>
      </c>
      <c r="B19" s="28"/>
      <c r="C19" s="28"/>
      <c r="D19" s="28"/>
      <c r="E19" s="28"/>
      <c r="F19" s="77">
        <f>SUM(F6:F18)</f>
        <v>13971.25</v>
      </c>
    </row>
  </sheetData>
  <mergeCells count="1">
    <mergeCell ref="B4:B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F6"/>
  <sheetViews>
    <sheetView workbookViewId="0">
      <selection activeCell="G3" sqref="G3"/>
    </sheetView>
  </sheetViews>
  <sheetFormatPr baseColWidth="10" defaultRowHeight="15"/>
  <cols>
    <col min="1" max="1" width="9.140625" customWidth="1"/>
    <col min="2" max="2" width="18.7109375" customWidth="1"/>
    <col min="6" max="6" width="11.5703125" bestFit="1" customWidth="1"/>
  </cols>
  <sheetData>
    <row r="2" spans="1:6" ht="15.75">
      <c r="A2" s="171" t="s">
        <v>53</v>
      </c>
      <c r="B2" s="171"/>
      <c r="C2" s="171"/>
    </row>
    <row r="3" spans="1:6" ht="31.5">
      <c r="A3" s="46" t="s">
        <v>189</v>
      </c>
      <c r="B3" s="46" t="s">
        <v>190</v>
      </c>
      <c r="C3" s="46" t="s">
        <v>191</v>
      </c>
      <c r="D3" s="46" t="s">
        <v>138</v>
      </c>
      <c r="E3" s="46" t="s">
        <v>67</v>
      </c>
      <c r="F3" s="46" t="s">
        <v>192</v>
      </c>
    </row>
    <row r="4" spans="1:6" ht="15.75">
      <c r="A4" s="25">
        <v>1</v>
      </c>
      <c r="B4" s="64" t="s">
        <v>36</v>
      </c>
      <c r="C4" s="26">
        <v>44.64</v>
      </c>
      <c r="D4" s="26">
        <v>0.12</v>
      </c>
      <c r="E4" s="26">
        <f>(C4*D4)+C4</f>
        <v>49.9968</v>
      </c>
      <c r="F4" s="26">
        <f>(E4*12)</f>
        <v>599.96159999999998</v>
      </c>
    </row>
    <row r="5" spans="1:6" ht="15.75">
      <c r="A5" s="25">
        <v>1</v>
      </c>
      <c r="B5" s="64" t="s">
        <v>131</v>
      </c>
      <c r="C5" s="26">
        <v>89.29</v>
      </c>
      <c r="D5" s="26">
        <v>0.12</v>
      </c>
      <c r="E5" s="26">
        <f>(C5*D5)+C5</f>
        <v>100.0048</v>
      </c>
      <c r="F5" s="26">
        <f>(E5*12)</f>
        <v>1200.0576000000001</v>
      </c>
    </row>
    <row r="6" spans="1:6" ht="15.75">
      <c r="A6" s="11"/>
      <c r="B6" s="46" t="s">
        <v>12</v>
      </c>
      <c r="C6" s="46"/>
      <c r="D6" s="46"/>
      <c r="E6" s="46"/>
      <c r="F6" s="65">
        <f>SUM(F4:F5)</f>
        <v>1800.0192000000002</v>
      </c>
    </row>
  </sheetData>
  <mergeCells count="1">
    <mergeCell ref="A2:C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DEMANDA INSATISFESCHA</vt:lpstr>
      <vt:lpstr>PRECIO PROM.</vt:lpstr>
      <vt:lpstr>INV. FIJA</vt:lpstr>
      <vt:lpstr>CAP. TRAB.</vt:lpstr>
      <vt:lpstr>RES. INVERSION</vt:lpstr>
      <vt:lpstr>DEPRES.</vt:lpstr>
      <vt:lpstr>AMORTIZACION</vt:lpstr>
      <vt:lpstr>COST. PRODU.</vt:lpstr>
      <vt:lpstr>MANO OBRA IND.</vt:lpstr>
      <vt:lpstr>GAST. ADM. OPERAC.</vt:lpstr>
      <vt:lpstr>GASTO VENTA</vt:lpstr>
      <vt:lpstr>G. PROM.  PUB.</vt:lpstr>
      <vt:lpstr>G. FINANC.</vt:lpstr>
      <vt:lpstr>RESUM. COST. GAST.</vt:lpstr>
      <vt:lpstr>PROYEC. COSTOS Y GAST.</vt:lpstr>
      <vt:lpstr>COSTOS FIJOS</vt:lpstr>
      <vt:lpstr>COSTOS VAR.</vt:lpstr>
      <vt:lpstr>VENTA PROY.</vt:lpstr>
      <vt:lpstr>FLUJO DE CAJA</vt:lpstr>
      <vt:lpstr>BAL. PROY. RESUL.</vt:lpstr>
      <vt:lpstr>ENTRADA EFEC.</vt:lpstr>
      <vt:lpstr>REL. BENEF. COST.</vt:lpstr>
      <vt:lpstr>VAN Y TIR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Garcia</dc:creator>
  <cp:lastModifiedBy>Milton Garcia</cp:lastModifiedBy>
  <cp:lastPrinted>2009-11-24T15:34:55Z</cp:lastPrinted>
  <dcterms:created xsi:type="dcterms:W3CDTF">2009-08-14T21:45:46Z</dcterms:created>
  <dcterms:modified xsi:type="dcterms:W3CDTF">2010-10-27T16:56:55Z</dcterms:modified>
</cp:coreProperties>
</file>