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 codeName="{37E998C4-C9E5-D4B9-71C8-EB1FF731991C}"/>
  <workbookPr codeName="ThisWorkbook" defaultThemeVersion="124226"/>
  <bookViews>
    <workbookView xWindow="240" yWindow="150" windowWidth="18855" windowHeight="8415" tabRatio="0" activeTab="0"/>
  </bookViews>
  <sheets>
    <sheet name="PRINS" sheetId="11" r:id="rId1"/>
    <sheet name="ORDEN" sheetId="1" r:id="rId2"/>
    <sheet name="HOJA DE COSTOS CIF" sheetId="18" r:id="rId3"/>
    <sheet name="HOJA DE COSTOS" sheetId="12" state="hidden" r:id="rId4"/>
    <sheet name="B.D.CLIENTES" sheetId="17" r:id="rId5"/>
    <sheet name="TIEMPO P.P." sheetId="14" state="hidden" r:id="rId6"/>
    <sheet name="PROFORMA" sheetId="3" r:id="rId7"/>
    <sheet name="SERVICIOS ADICIONALES" sheetId="15" state="hidden" r:id="rId8"/>
    <sheet name="DATOS" sheetId="13" r:id="rId9"/>
    <sheet name="PLATOS" sheetId="2" r:id="rId10"/>
    <sheet name="COSTO-ENTRADAS" sheetId="4" r:id="rId11"/>
    <sheet name="COSTO-SOPAS" sheetId="5" r:id="rId12"/>
    <sheet name="COSTO-FUERTES" sheetId="6" r:id="rId13"/>
    <sheet name="COSTO-BEBIDAS" sheetId="7" r:id="rId14"/>
    <sheet name="COSTO-POSTRE" sheetId="8" r:id="rId15"/>
    <sheet name="COSTO-ACOMPAÑAMIENTO" sheetId="9" r:id="rId16"/>
    <sheet name="LISTA DE PRODUCTOS" sheetId="16" r:id="rId17"/>
  </sheets>
  <externalReferences>
    <externalReference r:id="rId20"/>
  </externalReferences>
  <definedNames>
    <definedName name="_xlnm._FilterDatabase" localSheetId="4" hidden="1">'B.D.CLIENTES'!$C$5:$C$13</definedName>
    <definedName name="ACOMPAÑAMIENTO">'PLATOS'!$L$29:$L$46</definedName>
    <definedName name="ADICIONAL">'SERVICIOS ADICIONALES'!$C$5:$C$20</definedName>
    <definedName name="ADICIONAL2">'SERVICIOS ADICIONALES'!$F$5:$F$20</definedName>
    <definedName name="ADICIONAL3">'SERVICIOS ADICIONALES'!$I$5:$I$20</definedName>
    <definedName name="ADICIONAL4">'SERVICIOS ADICIONALES'!$L$5:$L$20</definedName>
    <definedName name="ARTISTA">'SERVICIOS ADICIONALES'!$E$5:$E$20</definedName>
    <definedName name="BEBIDAS">'PLATOS'!$R$2:$R$24</definedName>
    <definedName name="BRINDIS">'SERVICIOS ADICIONALES'!$H$5:$H$20</definedName>
    <definedName name="COSTOMP">'PLATOS'!$CB$2:$CB$23</definedName>
    <definedName name="COSTOMP2">'PLATOS'!$CE$2:$CE$23</definedName>
    <definedName name="COSTOMP3">'PLATOS'!$CH$2:$CH$23</definedName>
    <definedName name="COSTOMP4">'PLATOS'!$CK$2:$CK$17</definedName>
    <definedName name="COSTOMP5">'PLATOS'!$CN$2:$CN$18</definedName>
    <definedName name="COSTOMP6">'PLATOS'!$CQ$2:$CQ$23</definedName>
    <definedName name="ENTRADAS">'PLATOS'!$I$2:$I$24</definedName>
    <definedName name="FUERTE">'PLATOS'!$C$22:$C$29</definedName>
    <definedName name="FUERTES">'PLATOS'!$O$2:$O$24</definedName>
    <definedName name="MANTELERIA">'SERVICIOS ADICIONALES'!$K$5:$K$20</definedName>
    <definedName name="MÚSICA">'SERVICIOS ADICIONALES'!$B$5:$B$20</definedName>
    <definedName name="POSTRES">'PLATOS'!$U$2:$U$24</definedName>
    <definedName name="PRECIO" localSheetId="7">'SERVICIOS ADICIONALES'!$C$5:$C$17</definedName>
    <definedName name="PRECIO">'PLATOS'!$J$2:$J$24</definedName>
    <definedName name="PRECIO2" localSheetId="7">'SERVICIOS ADICIONALES'!$F$5:$F$17</definedName>
    <definedName name="PRECIO2">'PLATOS'!$M$2:$M$24</definedName>
    <definedName name="PRECIO3" localSheetId="7">'SERVICIOS ADICIONALES'!$I$5:$I$17</definedName>
    <definedName name="PRECIO3">'PLATOS'!$P$2:$P$24</definedName>
    <definedName name="PRECIO4" localSheetId="7">'SERVICIOS ADICIONALES'!$L$5:$L$17</definedName>
    <definedName name="PRECIO4">'PLATOS'!$S$2:$S$24</definedName>
    <definedName name="PRECIO5">'PLATOS'!$V$2:$V$24</definedName>
    <definedName name="PRECIO6">'PLATOS'!$M$29:$M$46</definedName>
    <definedName name="SOPAS">'PLATOS'!$L$2:$L$24</definedName>
  </definedNames>
  <calcPr calcId="124519"/>
</workbook>
</file>

<file path=xl/sharedStrings.xml><?xml version="1.0" encoding="utf-8"?>
<sst xmlns="http://schemas.openxmlformats.org/spreadsheetml/2006/main" count="3208" uniqueCount="467">
  <si>
    <t>PROFORMA</t>
  </si>
  <si>
    <t>RESTAURANTE CAMINOS DE HERRADURA</t>
  </si>
  <si>
    <t>FECHA DE CONTRATO</t>
  </si>
  <si>
    <t>FECHA DE EVENTO</t>
  </si>
  <si>
    <t>LUGAR DEL EVENTO</t>
  </si>
  <si>
    <t>HORA DEL EVENTO</t>
  </si>
  <si>
    <t>HORA DE COMIDA</t>
  </si>
  <si>
    <t>ENTRADA</t>
  </si>
  <si>
    <t>SOPA</t>
  </si>
  <si>
    <t>FUERTE</t>
  </si>
  <si>
    <t>BEBIDAS</t>
  </si>
  <si>
    <t>POSTRE</t>
  </si>
  <si>
    <t>ACOMPAÑAMIENTO</t>
  </si>
  <si>
    <t>SERVICIOS ADICIONALES</t>
  </si>
  <si>
    <t>MÚSICA</t>
  </si>
  <si>
    <t>ARTISTA</t>
  </si>
  <si>
    <t>CONTRATANTE</t>
  </si>
  <si>
    <t>PRECIO C/P</t>
  </si>
  <si>
    <t>PRECIO TOTAL SIN IVA</t>
  </si>
  <si>
    <t xml:space="preserve">TIPO DE EVENTO   </t>
  </si>
  <si>
    <t xml:space="preserve">NOMBRES                 </t>
  </si>
  <si>
    <t>:</t>
  </si>
  <si>
    <t>SI</t>
  </si>
  <si>
    <t>NÚM. DE PERSONAS</t>
  </si>
  <si>
    <t>SALDO</t>
  </si>
  <si>
    <t>ABONOS</t>
  </si>
  <si>
    <t>HORA DE FINALIZACIÓN 
DE EVENTO</t>
  </si>
  <si>
    <t>DIRECCIÓN</t>
  </si>
  <si>
    <t>Coctel de Camarones</t>
  </si>
  <si>
    <t>Yahuarlocro</t>
  </si>
  <si>
    <t>Helados con torta</t>
  </si>
  <si>
    <t>Locro de cuero</t>
  </si>
  <si>
    <t>Crema de pollo</t>
  </si>
  <si>
    <t>Frutillas con crema</t>
  </si>
  <si>
    <t>Ceviche de pollo</t>
  </si>
  <si>
    <t>Crema de champiñones</t>
  </si>
  <si>
    <t>Duraznos en almibar</t>
  </si>
  <si>
    <t>Ceviche de camarones</t>
  </si>
  <si>
    <t>Crema de esparragos</t>
  </si>
  <si>
    <t>Frutillas en almibar</t>
  </si>
  <si>
    <t>Ceviche de concha</t>
  </si>
  <si>
    <t>Sopa de albóndigas</t>
  </si>
  <si>
    <t>Ensalada de frutas</t>
  </si>
  <si>
    <t>Canelones de pollo</t>
  </si>
  <si>
    <t>Locro de queso</t>
  </si>
  <si>
    <t>Filete migñon</t>
  </si>
  <si>
    <t>Gelatina</t>
  </si>
  <si>
    <t>Canelones de camarones</t>
  </si>
  <si>
    <t>Crema de acelga</t>
  </si>
  <si>
    <t>Canelones de carne</t>
  </si>
  <si>
    <t>Sopa de pollo</t>
  </si>
  <si>
    <t>Gordon blue</t>
  </si>
  <si>
    <t>PRECIO</t>
  </si>
  <si>
    <t>ENTRADAS</t>
  </si>
  <si>
    <t>SOPAS</t>
  </si>
  <si>
    <t>FUERTES</t>
  </si>
  <si>
    <t>POSTRES</t>
  </si>
  <si>
    <t>Colas y Minerales</t>
  </si>
  <si>
    <t>Colas</t>
  </si>
  <si>
    <t>Minerales</t>
  </si>
  <si>
    <t>Chicha de Arroz</t>
  </si>
  <si>
    <t>Jugo de Mora</t>
  </si>
  <si>
    <t>Jugo de Tomate</t>
  </si>
  <si>
    <t>Jugo de Guayaba</t>
  </si>
  <si>
    <t>Jugo de piña</t>
  </si>
  <si>
    <t>Jugo de papaya</t>
  </si>
  <si>
    <t>Canguil</t>
  </si>
  <si>
    <t>Canguil con Chifles</t>
  </si>
  <si>
    <t>PRECIO2</t>
  </si>
  <si>
    <t>PRECIO3</t>
  </si>
  <si>
    <t>PRECIO4</t>
  </si>
  <si>
    <t>PRECIO5</t>
  </si>
  <si>
    <t>PRECIO6</t>
  </si>
  <si>
    <t>ORDEN DE PRODUCCIÓN</t>
  </si>
  <si>
    <t>1.</t>
  </si>
  <si>
    <t>ACOMPA.</t>
  </si>
  <si>
    <t>BEBIDA</t>
  </si>
  <si>
    <t>2.</t>
  </si>
  <si>
    <t>SERVICIO</t>
  </si>
  <si>
    <t>P.T. SIN IVA</t>
  </si>
  <si>
    <t>3.</t>
  </si>
  <si>
    <t>4.</t>
  </si>
  <si>
    <t>NUMERO DE PERSONAS:</t>
  </si>
  <si>
    <t>PRECIO7</t>
  </si>
  <si>
    <t>MUSICA</t>
  </si>
  <si>
    <t>NO</t>
  </si>
  <si>
    <t>FECHA                                   :</t>
  </si>
  <si>
    <t>PERSONAS</t>
  </si>
  <si>
    <t>Rodajas de pan con 
mantequilla</t>
  </si>
  <si>
    <t>PLATOS - RESTAURANTE CAMINOS DE HERRADURA</t>
  </si>
  <si>
    <t>Lomo con champiñones y 
pollo apanado</t>
  </si>
  <si>
    <t>INGREDIENTES</t>
  </si>
  <si>
    <t>MANO DE OBRA</t>
  </si>
  <si>
    <t>CIF</t>
  </si>
  <si>
    <t>COSTO UNIT.</t>
  </si>
  <si>
    <t>C. gramos</t>
  </si>
  <si>
    <t>Q- gramos</t>
  </si>
  <si>
    <t>Costo Total</t>
  </si>
  <si>
    <t>COSTO DE LOS PLATOS - caminos de herradura</t>
  </si>
  <si>
    <t>COSTO-ENTRADAS'!C198</t>
  </si>
  <si>
    <t>COSTO-SOPAS'!C198</t>
  </si>
  <si>
    <t>COSTO-ENTRADAS'!C220</t>
  </si>
  <si>
    <t>COSTO-SOPAS'!C220</t>
  </si>
  <si>
    <t>COSTO-ENTRADAS'!C241</t>
  </si>
  <si>
    <t>COSTO-SOPAS'!C241</t>
  </si>
  <si>
    <t>COSTO-ENTRADAS'!C263</t>
  </si>
  <si>
    <t>COSTO-SOPAS'!C263</t>
  </si>
  <si>
    <t>COSTO-ACOMPAÑAMIENTO'!C69</t>
  </si>
  <si>
    <t>COSTO-ACOMPAÑAMIENTO'!C91</t>
  </si>
  <si>
    <t>COSTO-ACOMPAÑAMIENTO'!C112</t>
  </si>
  <si>
    <t>COSTO-ACOMPAÑAMIENTO'!C134</t>
  </si>
  <si>
    <t>COSTO-POSTRE'!C155</t>
  </si>
  <si>
    <t>COSTO-ACOMPAÑAMIENTO'!C155</t>
  </si>
  <si>
    <t>COSTO-POSTRE'!C177</t>
  </si>
  <si>
    <t>COSTO-ACOMPAÑAMIENTO'!C177</t>
  </si>
  <si>
    <t>COSTO-BEBIDAS'!C198</t>
  </si>
  <si>
    <t>COSTO-POSTRE'!C198</t>
  </si>
  <si>
    <t>COSTO-ACOMPAÑAMIENTO'!C198</t>
  </si>
  <si>
    <t>COSTO-BEBIDAS'!C220</t>
  </si>
  <si>
    <t>COSTO-POSTRE'!C220</t>
  </si>
  <si>
    <t>COSTO-ACOMPAÑAMIENTO'!C220</t>
  </si>
  <si>
    <t>COSTO-FUERTES'!C241</t>
  </si>
  <si>
    <t>COSTO-BEBIDAS'!C241</t>
  </si>
  <si>
    <t>COSTO-POSTRE'!C241</t>
  </si>
  <si>
    <t>COSTO-ACOMPAÑAMIENTO'!C241</t>
  </si>
  <si>
    <t>COSTO-FUERTES'!C263</t>
  </si>
  <si>
    <t>COSTO-BEBIDAS'!C263</t>
  </si>
  <si>
    <t>COSTO-POSTRE'!C263</t>
  </si>
  <si>
    <t>COSTO-ACOMPAÑAMIENTO'!C263</t>
  </si>
  <si>
    <t>A C O M P A Ñ A M I E N T O</t>
  </si>
  <si>
    <t>N°</t>
  </si>
  <si>
    <t>TOTAL</t>
  </si>
  <si>
    <t>COSTO TOTAL</t>
  </si>
  <si>
    <t>COSTO UNITARIO</t>
  </si>
  <si>
    <t>HOJA DE COSTOS</t>
  </si>
  <si>
    <t>O.P.N°</t>
  </si>
  <si>
    <t>PRECIO DE VENTA</t>
  </si>
  <si>
    <t>CLIENTE</t>
  </si>
  <si>
    <t>CANTIDAD</t>
  </si>
  <si>
    <t>MATERIA PRIMA</t>
  </si>
  <si>
    <t>COCINA</t>
  </si>
  <si>
    <t>UTILIDAD</t>
  </si>
  <si>
    <t>SUELDOS:</t>
  </si>
  <si>
    <t>COCINA:</t>
  </si>
  <si>
    <t>SERVICIO:</t>
  </si>
  <si>
    <t>PAGOS A EXTRAS:</t>
  </si>
  <si>
    <t>COSTOS INDIRECTOS DE FACBRICACIÓN</t>
  </si>
  <si>
    <t>NUMERO DE TRABAJADORES PARA ORDEN DE PRODUCCIÓN N°</t>
  </si>
  <si>
    <t>MO</t>
  </si>
  <si>
    <t>EDIFICIO</t>
  </si>
  <si>
    <t>VALOR</t>
  </si>
  <si>
    <t>AÑOS DE VIDA</t>
  </si>
  <si>
    <t>DEP. ANUAL</t>
  </si>
  <si>
    <t>DEP. MENSUAL</t>
  </si>
  <si>
    <t>VALOR RESIDUAL</t>
  </si>
  <si>
    <t>ACTIVOS FIJOS</t>
  </si>
  <si>
    <t>DEPRECIACIONES DE ACTIVOS QUE INTERVIENEN DE LA PREPARACIÓN DEL SERVICIO</t>
  </si>
  <si>
    <t>VOLVER</t>
  </si>
  <si>
    <t>EXTRAS</t>
  </si>
  <si>
    <t>PLANTA</t>
  </si>
  <si>
    <t>COSTOMP</t>
  </si>
  <si>
    <t>COSTOMP2</t>
  </si>
  <si>
    <t>COSTOMP3</t>
  </si>
  <si>
    <t>COSTOMP4</t>
  </si>
  <si>
    <t>COSTOMP5</t>
  </si>
  <si>
    <t>COSTOMP6</t>
  </si>
  <si>
    <t>E</t>
  </si>
  <si>
    <t>S</t>
  </si>
  <si>
    <t>F</t>
  </si>
  <si>
    <t>B</t>
  </si>
  <si>
    <t>P</t>
  </si>
  <si>
    <t>A</t>
  </si>
  <si>
    <t>CIF PRESUPUESTADOS</t>
  </si>
  <si>
    <t>CIF REALES</t>
  </si>
  <si>
    <t>MOI</t>
  </si>
  <si>
    <t>MPI</t>
  </si>
  <si>
    <t>NUMERO DE PLATOS PRES.</t>
  </si>
  <si>
    <t>COSTO U. X SERVICIO</t>
  </si>
  <si>
    <t>TP X SERVICIO</t>
  </si>
  <si>
    <t>DEPRECIACIONES</t>
  </si>
  <si>
    <t>MENSUALES</t>
  </si>
  <si>
    <t>AGUA</t>
  </si>
  <si>
    <t>M</t>
  </si>
  <si>
    <t>OP</t>
  </si>
  <si>
    <t>C/H</t>
  </si>
  <si>
    <t>H</t>
  </si>
  <si>
    <t>PERSONAL PLANTA</t>
  </si>
  <si>
    <t>PERSONAL EXTRA</t>
  </si>
  <si>
    <t>COSTO UNIT. SERVICIO</t>
  </si>
  <si>
    <t>LOGISTICA</t>
  </si>
  <si>
    <t>HORAS</t>
  </si>
  <si>
    <t>MENSUAL PRES. ó REAL</t>
  </si>
  <si>
    <t>REAL O. PRODUCCIÓN</t>
  </si>
  <si>
    <t>%</t>
  </si>
  <si>
    <t xml:space="preserve">ENTRADA </t>
  </si>
  <si>
    <t xml:space="preserve">BEBIDA </t>
  </si>
  <si>
    <t>EVENTUALES</t>
  </si>
  <si>
    <t>PLANTA- PAGO ADICIONAL</t>
  </si>
  <si>
    <t>TP</t>
  </si>
  <si>
    <t>DETALLE</t>
  </si>
  <si>
    <t>TOTAL%</t>
  </si>
  <si>
    <t>COCINA + LOGISTICA</t>
  </si>
  <si>
    <t># HORAS</t>
  </si>
  <si>
    <t># PLATOS</t>
  </si>
  <si>
    <t># PERSONAS</t>
  </si>
  <si>
    <t>BRINDIS</t>
  </si>
  <si>
    <t>MANTELERIA</t>
  </si>
  <si>
    <t>SI   5 HORAS</t>
  </si>
  <si>
    <t>SI 1 HORA</t>
  </si>
  <si>
    <t>VINO</t>
  </si>
  <si>
    <t>CHAMPAN</t>
  </si>
  <si>
    <t>VINO BONS</t>
  </si>
  <si>
    <t>COLA</t>
  </si>
  <si>
    <t>ROSADO</t>
  </si>
  <si>
    <t>ROJO</t>
  </si>
  <si>
    <t>AMARILLO</t>
  </si>
  <si>
    <t>DORADO</t>
  </si>
  <si>
    <t>AZUL</t>
  </si>
  <si>
    <t>VERDE</t>
  </si>
  <si>
    <t>ROSADO CON FORROS</t>
  </si>
  <si>
    <t>ROJO CON FORROS</t>
  </si>
  <si>
    <t>AMARILLO CON FORROS</t>
  </si>
  <si>
    <t>DORADO CON FORROS</t>
  </si>
  <si>
    <t>AZUL CON FORROS</t>
  </si>
  <si>
    <t>VERDE CON FORROS</t>
  </si>
  <si>
    <t xml:space="preserve">RESTAURANTE CAMINOS DE HERRADURA 
SERVICIOS  ADICIONALES </t>
  </si>
  <si>
    <t>ADICIONAL</t>
  </si>
  <si>
    <t>ADICIONAL2</t>
  </si>
  <si>
    <t>ADICIONAL3</t>
  </si>
  <si>
    <t>ADICIONAL4</t>
  </si>
  <si>
    <t>MATELERIA</t>
  </si>
  <si>
    <t>ANALISIS</t>
  </si>
  <si>
    <t>EN CADA PLATO SE OBTIENE UNA RENTA DEL:</t>
  </si>
  <si>
    <t>E-MAIL</t>
  </si>
  <si>
    <t xml:space="preserve">BASE DE DATOS </t>
  </si>
  <si>
    <t>CLIENTES</t>
  </si>
  <si>
    <t>CELULAR</t>
  </si>
  <si>
    <t>Acompañamiento del Fuerte</t>
  </si>
  <si>
    <t>ADMINISTRADOR</t>
  </si>
  <si>
    <t>MENÚ</t>
  </si>
  <si>
    <t>30 minutos</t>
  </si>
  <si>
    <t>3 horas</t>
  </si>
  <si>
    <t>15 minutos</t>
  </si>
  <si>
    <t>2 horas</t>
  </si>
  <si>
    <t>1 hora</t>
  </si>
  <si>
    <t>RESTAURANTE "CAMINOS DE HERRADURA"</t>
  </si>
  <si>
    <t>Dirección: Barrio San Juan             Telf.: 2923-418  / 2921-146 / Cel.: 097145387          Quito - Ecuador</t>
  </si>
  <si>
    <t>Numero de salón</t>
  </si>
  <si>
    <t>Srta. Viviana Echeverria</t>
  </si>
  <si>
    <t>Herradura</t>
  </si>
  <si>
    <t>5 horas desde la 
hora de la llegada</t>
  </si>
  <si>
    <t>Pollo con champiñones y 
chuleta a la Plancha</t>
  </si>
  <si>
    <t>Papi Pollo</t>
  </si>
  <si>
    <t>Servilletas</t>
  </si>
  <si>
    <t>Desifectantes</t>
  </si>
  <si>
    <t>NUMERO DE PLATOS REALES</t>
  </si>
  <si>
    <t>Aguacate relleno camaron</t>
  </si>
  <si>
    <t>Tomate relleno camaron</t>
  </si>
  <si>
    <t>agucate</t>
  </si>
  <si>
    <t>lechuga</t>
  </si>
  <si>
    <t>rabanos</t>
  </si>
  <si>
    <t>chochos</t>
  </si>
  <si>
    <t>sal</t>
  </si>
  <si>
    <t>aceite</t>
  </si>
  <si>
    <t>limones</t>
  </si>
  <si>
    <t>cebolla paiteña</t>
  </si>
  <si>
    <t>mayonesa</t>
  </si>
  <si>
    <t>salsa de toma</t>
  </si>
  <si>
    <t>cantidad</t>
  </si>
  <si>
    <t>Cantidad</t>
  </si>
  <si>
    <t xml:space="preserve">Costo </t>
  </si>
  <si>
    <t>tallarin</t>
  </si>
  <si>
    <t xml:space="preserve">cebolla larga </t>
  </si>
  <si>
    <t>ajos</t>
  </si>
  <si>
    <t>cilantro</t>
  </si>
  <si>
    <t>apio</t>
  </si>
  <si>
    <t>salsa inglesa</t>
  </si>
  <si>
    <t>maggui</t>
  </si>
  <si>
    <t>papas</t>
  </si>
  <si>
    <t>zanahoria</t>
  </si>
  <si>
    <t>arvejas</t>
  </si>
  <si>
    <t>achote</t>
  </si>
  <si>
    <t>leche</t>
  </si>
  <si>
    <t>unidad</t>
  </si>
  <si>
    <t>gramos</t>
  </si>
  <si>
    <t>litro</t>
  </si>
  <si>
    <t>arroz</t>
  </si>
  <si>
    <t>arveja</t>
  </si>
  <si>
    <t>choclo</t>
  </si>
  <si>
    <t>perejil</t>
  </si>
  <si>
    <t>magui</t>
  </si>
  <si>
    <t>sabora</t>
  </si>
  <si>
    <t>ajo</t>
  </si>
  <si>
    <t>comino</t>
  </si>
  <si>
    <t>pimienta</t>
  </si>
  <si>
    <t>ajinomoto</t>
  </si>
  <si>
    <t>pollo</t>
  </si>
  <si>
    <t>chuleta</t>
  </si>
  <si>
    <t>arrocillo</t>
  </si>
  <si>
    <t>piñas</t>
  </si>
  <si>
    <t>naranjilla</t>
  </si>
  <si>
    <t>hierba luisa</t>
  </si>
  <si>
    <t>cedron</t>
  </si>
  <si>
    <t>ispingo</t>
  </si>
  <si>
    <t xml:space="preserve">pimienta de dulce </t>
  </si>
  <si>
    <t>azucar</t>
  </si>
  <si>
    <t>C.E.</t>
  </si>
  <si>
    <t>SERVICIO + LOGISTICA</t>
  </si>
  <si>
    <t xml:space="preserve">canguil </t>
  </si>
  <si>
    <t>Verde</t>
  </si>
  <si>
    <r>
      <rPr>
        <b/>
        <sz val="10"/>
        <color theme="1"/>
        <rFont val="Franklin Gothic Medium Cond"/>
        <family val="2"/>
      </rPr>
      <t>NOTA:</t>
    </r>
    <r>
      <rPr>
        <sz val="10"/>
        <color theme="1"/>
        <rFont val="Franklin Gothic Medium Cond"/>
        <family val="2"/>
      </rPr>
      <t xml:space="preserve"> EN CASO DE NO CUMPLIR CON EL CONTRATO, LAS PARTES SE SOMETERÁN A LOS JUECES COMPETENTES.</t>
    </r>
  </si>
  <si>
    <t>Papas salteadas, 
Ensalada de fria con mayonesa</t>
  </si>
  <si>
    <t>f</t>
  </si>
  <si>
    <t>v</t>
  </si>
  <si>
    <t xml:space="preserve">CELULAR   o N° de Telf.                 </t>
  </si>
  <si>
    <t>RUC</t>
  </si>
  <si>
    <t xml:space="preserve">CELULAR o N°. TELF.                   </t>
  </si>
  <si>
    <t>GAS</t>
  </si>
  <si>
    <t>TELEFONO</t>
  </si>
  <si>
    <t>LUZ</t>
  </si>
  <si>
    <t>MENSUAL</t>
  </si>
  <si>
    <t>CONTRATO DE RECEPCIÓN</t>
  </si>
  <si>
    <t>Camarones</t>
  </si>
  <si>
    <t>salsa de tomate</t>
  </si>
  <si>
    <t>limon</t>
  </si>
  <si>
    <t>aguacate</t>
  </si>
  <si>
    <t xml:space="preserve">pimientos </t>
  </si>
  <si>
    <t>Carne molida</t>
  </si>
  <si>
    <t>huevo</t>
  </si>
  <si>
    <t>arina</t>
  </si>
  <si>
    <t>huevos</t>
  </si>
  <si>
    <t xml:space="preserve">mayonesa </t>
  </si>
  <si>
    <t>Camarón</t>
  </si>
  <si>
    <t>naranja</t>
  </si>
  <si>
    <t>cola fanta</t>
  </si>
  <si>
    <t>Concha</t>
  </si>
  <si>
    <t>Pollo</t>
  </si>
  <si>
    <t>tomate</t>
  </si>
  <si>
    <t>Camaron</t>
  </si>
  <si>
    <t>mantequilla</t>
  </si>
  <si>
    <t>cebolla larga</t>
  </si>
  <si>
    <t xml:space="preserve">cebolla paiteña </t>
  </si>
  <si>
    <t>nuez moscada</t>
  </si>
  <si>
    <t>champiñones</t>
  </si>
  <si>
    <t>Champiñones</t>
  </si>
  <si>
    <t>Acelga</t>
  </si>
  <si>
    <t>Esparragos</t>
  </si>
  <si>
    <t>mani</t>
  </si>
  <si>
    <t>manteca de puerco</t>
  </si>
  <si>
    <t>Cuero</t>
  </si>
  <si>
    <t>Queso</t>
  </si>
  <si>
    <t>carne m olida</t>
  </si>
  <si>
    <t>apanadura</t>
  </si>
  <si>
    <t xml:space="preserve">manteca de chancho </t>
  </si>
  <si>
    <t xml:space="preserve">aceite </t>
  </si>
  <si>
    <t>oregano</t>
  </si>
  <si>
    <t>color</t>
  </si>
  <si>
    <t>menudo</t>
  </si>
  <si>
    <t>manteca de chanco</t>
  </si>
  <si>
    <t>tomate riñon</t>
  </si>
  <si>
    <t>hierba buena</t>
  </si>
  <si>
    <t>Lomo a la plancha y pollo en 
salsa de champiñones</t>
  </si>
  <si>
    <t>Lomo apanado y pollo en 
salsa de champiñones</t>
  </si>
  <si>
    <t>Pollo asado y lomo en salsa
de champiñones</t>
  </si>
  <si>
    <t>Lomo napolitano y pollo en 
salsa de champiñones</t>
  </si>
  <si>
    <t>Lengua en salsa de champiñones 
y pollo apanado</t>
  </si>
  <si>
    <t>lomo</t>
  </si>
  <si>
    <t>tosino</t>
  </si>
  <si>
    <t>palillos</t>
  </si>
  <si>
    <t>Lomo</t>
  </si>
  <si>
    <t xml:space="preserve">ACOMPAÑAMIENTO PARA TODOS LOS PLATOS </t>
  </si>
  <si>
    <t>COSTO</t>
  </si>
  <si>
    <t>queso</t>
  </si>
  <si>
    <t>Sobres de crema magui</t>
  </si>
  <si>
    <t xml:space="preserve">arina </t>
  </si>
  <si>
    <t xml:space="preserve">leche </t>
  </si>
  <si>
    <t>carne molida</t>
  </si>
  <si>
    <t xml:space="preserve">arveja </t>
  </si>
  <si>
    <t>zahahoria</t>
  </si>
  <si>
    <t>Lengua</t>
  </si>
  <si>
    <t>ajo pepa</t>
  </si>
  <si>
    <t>pimiento</t>
  </si>
  <si>
    <t>Lomo con champiñones y 
pollo  a la plancha</t>
  </si>
  <si>
    <t>Cola</t>
  </si>
  <si>
    <t>Agua Mineral</t>
  </si>
  <si>
    <t>Guayaba</t>
  </si>
  <si>
    <t>Azucar</t>
  </si>
  <si>
    <t>Mora</t>
  </si>
  <si>
    <t>Papaya</t>
  </si>
  <si>
    <t>Tomate</t>
  </si>
  <si>
    <t>crema de leche</t>
  </si>
  <si>
    <t>Durazno</t>
  </si>
  <si>
    <t>platano</t>
  </si>
  <si>
    <t>piña</t>
  </si>
  <si>
    <t>manzana</t>
  </si>
  <si>
    <t>uvas</t>
  </si>
  <si>
    <t>frutilla</t>
  </si>
  <si>
    <t>sandia</t>
  </si>
  <si>
    <t>papaya</t>
  </si>
  <si>
    <t>vainilla</t>
  </si>
  <si>
    <t>Frutilla</t>
  </si>
  <si>
    <t>canela</t>
  </si>
  <si>
    <t>clavo de olor</t>
  </si>
  <si>
    <t>gelatina</t>
  </si>
  <si>
    <t>manzanas</t>
  </si>
  <si>
    <t>durazno</t>
  </si>
  <si>
    <t>mora</t>
  </si>
  <si>
    <t>Pan</t>
  </si>
  <si>
    <t>Mantequilla</t>
  </si>
  <si>
    <t xml:space="preserve">P   O   S   T   R   E   </t>
  </si>
  <si>
    <t xml:space="preserve">E   N   T   R   A   D   A   </t>
  </si>
  <si>
    <t xml:space="preserve">S   O   P   A   </t>
  </si>
  <si>
    <t xml:space="preserve">F   U   E   R   T   E   </t>
  </si>
  <si>
    <t xml:space="preserve">B   E   B   I   D   A   </t>
  </si>
  <si>
    <t>mostaza</t>
  </si>
  <si>
    <t>salchicha</t>
  </si>
  <si>
    <t>Materia Prima</t>
  </si>
  <si>
    <t>gramo</t>
  </si>
  <si>
    <t>KILOS</t>
  </si>
  <si>
    <t>GRAMOS</t>
  </si>
  <si>
    <t>LIBRAS</t>
  </si>
  <si>
    <t>1 LIBRA</t>
  </si>
  <si>
    <t>VALOR QQ.</t>
  </si>
  <si>
    <t>PESO</t>
  </si>
  <si>
    <t>jamonada</t>
  </si>
  <si>
    <t>limon grande</t>
  </si>
  <si>
    <t>limon pequeño</t>
  </si>
  <si>
    <t>pimienta dulce</t>
  </si>
  <si>
    <t>libra</t>
  </si>
  <si>
    <t>maggui  84g 8 cubitos</t>
  </si>
  <si>
    <t>crema maggui</t>
  </si>
  <si>
    <t>agua mineral</t>
  </si>
  <si>
    <t xml:space="preserve">guayaba </t>
  </si>
  <si>
    <t xml:space="preserve">mora </t>
  </si>
  <si>
    <t>tomate de árbol</t>
  </si>
  <si>
    <t xml:space="preserve">durazno </t>
  </si>
  <si>
    <t>pan</t>
  </si>
  <si>
    <t>verde</t>
  </si>
  <si>
    <t>unidades</t>
  </si>
  <si>
    <t>g</t>
  </si>
  <si>
    <t>torta</t>
  </si>
  <si>
    <t>Torta</t>
  </si>
  <si>
    <t>COSTO POR LIBRA, 
LITRO Y UNIDAD</t>
  </si>
  <si>
    <t>MOBILIARIO Y EQUIPO</t>
  </si>
  <si>
    <t>SERVILLETAS</t>
  </si>
  <si>
    <t>SUMINISTROS DE ASEO</t>
  </si>
  <si>
    <t>MANTENIMIENTO EDIFICIO</t>
  </si>
  <si>
    <t>PALILLOS</t>
  </si>
  <si>
    <t>RUC O NUM. CEDULA</t>
  </si>
  <si>
    <t>NO TIENE</t>
  </si>
  <si>
    <t>Sra. Isabe moreno</t>
  </si>
  <si>
    <t>Sra. Juana Criollo</t>
  </si>
  <si>
    <t>Bautizo</t>
  </si>
  <si>
    <t>Duraznos con crema</t>
  </si>
  <si>
    <t>Sr. Segundo Ajala</t>
  </si>
  <si>
    <t>Sra. Monica Salazar</t>
  </si>
  <si>
    <t>Sr. José Luis Haro</t>
  </si>
  <si>
    <t>Sr. Iván Vivas</t>
  </si>
  <si>
    <t>28 de febrero</t>
  </si>
  <si>
    <t>VAJILLA COMPLETA</t>
  </si>
  <si>
    <t>VINO BRINDIS</t>
  </si>
  <si>
    <t>SUMINISTROS DE OFICINA</t>
  </si>
  <si>
    <t xml:space="preserve"> </t>
  </si>
  <si>
    <t>Calle Bolivar y Olmedo</t>
  </si>
  <si>
    <t xml:space="preserve">27 de marzo </t>
  </si>
  <si>
    <t>1 LITRO</t>
  </si>
  <si>
    <t xml:space="preserve">COSTO 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</si>
</sst>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.00000"/>
    <numFmt numFmtId="166" formatCode="0.0000"/>
    <numFmt numFmtId="167" formatCode="0.000"/>
    <numFmt numFmtId="168" formatCode="_(&quot;$&quot;\ * #,##0.000_);_(&quot;$&quot;\ * \(#,##0.000\);_(&quot;$&quot;\ * &quot;-&quot;??_);_(@_)"/>
    <numFmt numFmtId="169" formatCode="0.00000000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#\ ???/???"/>
    <numFmt numFmtId="173" formatCode="_(&quot;$&quot;* #,##0.000_);_(&quot;$&quot;* \(#,##0.000\);_(&quot;$&quot;* &quot;-&quot;??_);_(@_)"/>
  </numFmts>
  <fonts count="6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 DELANEY"/>
      <family val="2"/>
    </font>
    <font>
      <b/>
      <sz val="12"/>
      <color rgb="FFFF0000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4"/>
      <color theme="1"/>
      <name val="AR CHRISTY"/>
      <family val="2"/>
    </font>
    <font>
      <sz val="14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AR CENA"/>
      <family val="2"/>
    </font>
    <font>
      <b/>
      <sz val="14"/>
      <color theme="1"/>
      <name val="AR CHRISTY"/>
      <family val="2"/>
    </font>
    <font>
      <b/>
      <sz val="16"/>
      <color theme="0"/>
      <name val="AR DARLING"/>
      <family val="2"/>
    </font>
    <font>
      <sz val="16"/>
      <color theme="1"/>
      <name val="AR DELANEY"/>
      <family val="2"/>
    </font>
    <font>
      <sz val="14"/>
      <color theme="1"/>
      <name val="Algerian"/>
      <family val="5"/>
    </font>
    <font>
      <u val="single"/>
      <sz val="11"/>
      <color theme="10"/>
      <name val="Calibri"/>
      <family val="2"/>
    </font>
    <font>
      <sz val="11"/>
      <color indexed="10"/>
      <name val="Castellar"/>
      <family val="1"/>
    </font>
    <font>
      <sz val="11"/>
      <color indexed="11"/>
      <name val="Castellar"/>
      <family val="1"/>
    </font>
    <font>
      <sz val="11"/>
      <color indexed="12"/>
      <name val="Castellar"/>
      <family val="1"/>
    </font>
    <font>
      <sz val="11"/>
      <color rgb="FF000000"/>
      <name val="Calibri"/>
      <family val="2"/>
      <scheme val="minor"/>
    </font>
    <font>
      <b/>
      <sz val="11"/>
      <color theme="1"/>
      <name val="AR CHRISTY"/>
      <family val="2"/>
    </font>
    <font>
      <b/>
      <sz val="10"/>
      <color theme="1"/>
      <name val="AR CHRISTY"/>
      <family val="2"/>
    </font>
    <font>
      <sz val="11"/>
      <color theme="1"/>
      <name val="AR CHRISTY"/>
      <family val="2"/>
    </font>
    <font>
      <b/>
      <sz val="11"/>
      <color theme="0"/>
      <name val="Calibri"/>
      <family val="2"/>
      <scheme val="minor"/>
    </font>
    <font>
      <sz val="12"/>
      <color theme="1"/>
      <name val="AR CENA"/>
      <family val="2"/>
    </font>
    <font>
      <sz val="12"/>
      <color theme="1"/>
      <name val="AR CHRISTY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Agency FB"/>
      <family val="2"/>
    </font>
    <font>
      <sz val="14"/>
      <color theme="0"/>
      <name val="AR CHRISTY"/>
      <family val="2"/>
    </font>
    <font>
      <sz val="12"/>
      <color theme="0"/>
      <name val="AR CENA"/>
      <family val="2"/>
    </font>
    <font>
      <sz val="11"/>
      <name val="Calibri"/>
      <family val="2"/>
      <scheme val="minor"/>
    </font>
    <font>
      <b/>
      <sz val="12"/>
      <color rgb="FF00FF00"/>
      <name val="Calibri"/>
      <family val="2"/>
      <scheme val="minor"/>
    </font>
    <font>
      <u val="single"/>
      <sz val="12"/>
      <name val="AR CHRISTY"/>
      <family val="2"/>
    </font>
    <font>
      <b/>
      <sz val="12"/>
      <color rgb="FF00FF00"/>
      <name val="Agency FB"/>
      <family val="2"/>
    </font>
    <font>
      <sz val="11"/>
      <name val="Castellar"/>
      <family val="1"/>
    </font>
    <font>
      <sz val="11"/>
      <color indexed="15"/>
      <name val="Castellar"/>
      <family val="1"/>
    </font>
    <font>
      <sz val="11"/>
      <color rgb="FF0000FF"/>
      <name val="Calibri"/>
      <family val="2"/>
      <scheme val="minor"/>
    </font>
    <font>
      <b/>
      <u val="single"/>
      <sz val="11"/>
      <color theme="0"/>
      <name val="Berlin Sans FB Demi"/>
      <family val="2"/>
    </font>
    <font>
      <u val="single"/>
      <sz val="11"/>
      <name val="AR CHRISTY"/>
      <family val="2"/>
    </font>
    <font>
      <sz val="10"/>
      <color theme="1"/>
      <name val="Agency FB"/>
      <family val="2"/>
    </font>
    <font>
      <sz val="12"/>
      <color rgb="FF0000FF"/>
      <name val="AR CHRISTY"/>
      <family val="2"/>
    </font>
    <font>
      <b/>
      <sz val="12"/>
      <color rgb="FF0000FF"/>
      <name val="Calibri"/>
      <family val="2"/>
      <scheme val="minor"/>
    </font>
    <font>
      <sz val="14"/>
      <color theme="1"/>
      <name val="Imprint MT Shadow"/>
      <family val="5"/>
    </font>
    <font>
      <sz val="11"/>
      <color theme="1"/>
      <name val="Curlz MT"/>
      <family val="5"/>
    </font>
    <font>
      <sz val="11"/>
      <color theme="1"/>
      <name val="Algerian"/>
      <family val="5"/>
    </font>
    <font>
      <sz val="10"/>
      <color theme="1"/>
      <name val="Franklin Gothic Medium Cond"/>
      <family val="2"/>
    </font>
    <font>
      <b/>
      <sz val="10"/>
      <color theme="1"/>
      <name val="Franklin Gothic Medium Cond"/>
      <family val="2"/>
    </font>
    <font>
      <b/>
      <sz val="11"/>
      <color indexed="10"/>
      <name val="Andalus"/>
      <family val="2"/>
    </font>
    <font>
      <b/>
      <sz val="11"/>
      <color indexed="12"/>
      <name val="Andalus"/>
      <family val="2"/>
    </font>
    <font>
      <b/>
      <sz val="11"/>
      <color indexed="11"/>
      <name val="Andalus"/>
      <family val="2"/>
    </font>
    <font>
      <b/>
      <sz val="11"/>
      <color indexed="28"/>
      <name val="Andalus"/>
      <family val="2"/>
    </font>
    <font>
      <sz val="8"/>
      <color theme="1"/>
      <name val="Agency FB"/>
      <family val="2"/>
    </font>
    <font>
      <b/>
      <sz val="14"/>
      <name val="AR CENA"/>
      <family val="2"/>
    </font>
    <font>
      <b/>
      <sz val="11"/>
      <color indexed="11"/>
      <name val="Castellar"/>
      <family val="1"/>
    </font>
    <font>
      <b/>
      <sz val="12"/>
      <color rgb="FF92D050"/>
      <name val="Calibri"/>
      <family val="2"/>
      <scheme val="minor"/>
    </font>
    <font>
      <sz val="11"/>
      <color rgb="FFFF0000"/>
      <name val="Castellar"/>
      <family val="2"/>
    </font>
    <font>
      <sz val="11"/>
      <color rgb="FF0000FF"/>
      <name val="Castellar"/>
      <family val="2"/>
    </font>
    <font>
      <sz val="11"/>
      <color rgb="FF00FF00"/>
      <name val="Castellar"/>
      <family val="2"/>
    </font>
    <font>
      <sz val="11"/>
      <color rgb="FF00FFFF"/>
      <name val="Castellar"/>
      <family val="2"/>
    </font>
    <font>
      <sz val="11"/>
      <color rgb="FFFF0000"/>
      <name val="Andalus"/>
      <family val="2"/>
    </font>
    <font>
      <sz val="11"/>
      <color rgb="FF0000FF"/>
      <name val="Andalus"/>
      <family val="2"/>
    </font>
    <font>
      <sz val="11"/>
      <color rgb="FF00FF00"/>
      <name val="Andalus"/>
      <family val="2"/>
    </font>
    <font>
      <sz val="11"/>
      <color rgb="FF660066"/>
      <name val="Andalus"/>
      <family val="2"/>
    </font>
    <font>
      <sz val="11"/>
      <color rgb="FF000000"/>
      <name val="Calibri"/>
      <family val="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66">
    <border>
      <left/>
      <right/>
      <top/>
      <bottom/>
      <diagonal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medium"/>
      <right style="double"/>
      <top style="medium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 style="double"/>
      <top style="medium"/>
      <bottom/>
    </border>
    <border>
      <left/>
      <right style="double"/>
      <top/>
      <bottom style="thin"/>
    </border>
    <border>
      <left style="thin"/>
      <right style="double"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 style="double"/>
      <top style="thin"/>
      <bottom style="thin"/>
    </border>
    <border>
      <left style="medium"/>
      <right/>
      <top style="medium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>
        <color rgb="FFFF8001"/>
      </left>
      <right style="double">
        <color rgb="FFFF8001"/>
      </right>
      <top style="double">
        <color rgb="FFFF8001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/>
      <top style="medium"/>
      <bottom/>
    </border>
    <border>
      <left/>
      <right/>
      <top style="medium"/>
      <bottom/>
    </border>
    <border>
      <left style="thin"/>
      <right/>
      <top style="thin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54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164" fontId="0" fillId="2" borderId="11" xfId="20" applyFont="1" applyFill="1" applyBorder="1"/>
    <xf numFmtId="0" fontId="0" fillId="2" borderId="0" xfId="0" applyFill="1" applyBorder="1" applyAlignment="1">
      <alignment wrapText="1"/>
    </xf>
    <xf numFmtId="0" fontId="0" fillId="3" borderId="0" xfId="0" applyFill="1"/>
    <xf numFmtId="0" fontId="0" fillId="4" borderId="11" xfId="0" applyFill="1" applyBorder="1"/>
    <xf numFmtId="0" fontId="0" fillId="0" borderId="11" xfId="0" applyBorder="1"/>
    <xf numFmtId="0" fontId="0" fillId="5" borderId="11" xfId="0" applyFill="1" applyBorder="1"/>
    <xf numFmtId="164" fontId="0" fillId="2" borderId="0" xfId="20" applyFont="1" applyFill="1" applyBorder="1"/>
    <xf numFmtId="0" fontId="0" fillId="6" borderId="0" xfId="0" applyFill="1"/>
    <xf numFmtId="164" fontId="12" fillId="4" borderId="12" xfId="20" applyFont="1" applyFill="1" applyBorder="1"/>
    <xf numFmtId="0" fontId="0" fillId="2" borderId="0" xfId="0" applyFill="1"/>
    <xf numFmtId="0" fontId="0" fillId="2" borderId="13" xfId="0" applyFill="1" applyBorder="1"/>
    <xf numFmtId="164" fontId="0" fillId="2" borderId="13" xfId="20" applyFont="1" applyFill="1" applyBorder="1"/>
    <xf numFmtId="164" fontId="0" fillId="2" borderId="14" xfId="20" applyFont="1" applyFill="1" applyBorder="1"/>
    <xf numFmtId="0" fontId="0" fillId="2" borderId="15" xfId="0" applyFill="1" applyBorder="1"/>
    <xf numFmtId="164" fontId="0" fillId="2" borderId="15" xfId="20" applyFont="1" applyFill="1" applyBorder="1"/>
    <xf numFmtId="0" fontId="0" fillId="2" borderId="11" xfId="0" applyFill="1" applyBorder="1"/>
    <xf numFmtId="0" fontId="3" fillId="2" borderId="0" xfId="0" applyFont="1" applyFill="1" applyAlignment="1">
      <alignment/>
    </xf>
    <xf numFmtId="164" fontId="0" fillId="2" borderId="0" xfId="20" applyFont="1" applyFill="1"/>
    <xf numFmtId="164" fontId="0" fillId="4" borderId="16" xfId="20" applyFont="1" applyFill="1" applyBorder="1"/>
    <xf numFmtId="0" fontId="0" fillId="4" borderId="17" xfId="0" applyFill="1" applyBorder="1"/>
    <xf numFmtId="164" fontId="0" fillId="4" borderId="17" xfId="20" applyFont="1" applyFill="1" applyBorder="1"/>
    <xf numFmtId="0" fontId="12" fillId="2" borderId="4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left"/>
    </xf>
    <xf numFmtId="20" fontId="0" fillId="2" borderId="2" xfId="0" applyNumberForma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6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68" fontId="0" fillId="2" borderId="15" xfId="0" applyNumberFormat="1" applyFill="1" applyBorder="1"/>
    <xf numFmtId="0" fontId="3" fillId="2" borderId="15" xfId="0" applyFont="1" applyFill="1" applyBorder="1"/>
    <xf numFmtId="2" fontId="0" fillId="2" borderId="15" xfId="0" applyNumberFormat="1" applyFill="1" applyBorder="1"/>
    <xf numFmtId="2" fontId="0" fillId="2" borderId="11" xfId="0" applyNumberFormat="1" applyFill="1" applyBorder="1"/>
    <xf numFmtId="9" fontId="0" fillId="3" borderId="0" xfId="0" applyNumberFormat="1" applyFill="1"/>
    <xf numFmtId="9" fontId="0" fillId="3" borderId="0" xfId="22" applyFont="1" applyFill="1"/>
    <xf numFmtId="9" fontId="3" fillId="3" borderId="0" xfId="0" applyNumberFormat="1" applyFont="1" applyFill="1"/>
    <xf numFmtId="2" fontId="0" fillId="3" borderId="0" xfId="0" applyNumberFormat="1" applyFill="1"/>
    <xf numFmtId="9" fontId="0" fillId="2" borderId="11" xfId="22" applyFont="1" applyFill="1" applyBorder="1"/>
    <xf numFmtId="0" fontId="29" fillId="2" borderId="11" xfId="0" applyFont="1" applyFill="1" applyBorder="1"/>
    <xf numFmtId="9" fontId="29" fillId="2" borderId="11" xfId="22" applyFont="1" applyFill="1" applyBorder="1"/>
    <xf numFmtId="9" fontId="3" fillId="2" borderId="11" xfId="22" applyFont="1" applyFill="1" applyBorder="1"/>
    <xf numFmtId="10" fontId="0" fillId="2" borderId="21" xfId="22" applyNumberFormat="1" applyFont="1" applyFill="1" applyBorder="1"/>
    <xf numFmtId="2" fontId="3" fillId="2" borderId="11" xfId="0" applyNumberFormat="1" applyFont="1" applyFill="1" applyBorder="1"/>
    <xf numFmtId="0" fontId="3" fillId="2" borderId="11" xfId="0" applyFont="1" applyFill="1" applyBorder="1"/>
    <xf numFmtId="2" fontId="3" fillId="2" borderId="11" xfId="22" applyNumberFormat="1" applyFont="1" applyFill="1" applyBorder="1"/>
    <xf numFmtId="0" fontId="3" fillId="2" borderId="1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" fontId="0" fillId="3" borderId="0" xfId="0" applyNumberFormat="1" applyFill="1"/>
    <xf numFmtId="2" fontId="0" fillId="4" borderId="11" xfId="0" applyNumberForma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167" fontId="0" fillId="2" borderId="0" xfId="0" applyNumberFormat="1" applyFill="1"/>
    <xf numFmtId="167" fontId="0" fillId="2" borderId="15" xfId="0" applyNumberFormat="1" applyFill="1" applyBorder="1"/>
    <xf numFmtId="167" fontId="0" fillId="2" borderId="11" xfId="0" applyNumberFormat="1" applyFill="1" applyBorder="1"/>
    <xf numFmtId="10" fontId="0" fillId="2" borderId="11" xfId="22" applyNumberFormat="1" applyFont="1" applyFill="1" applyBorder="1"/>
    <xf numFmtId="10" fontId="0" fillId="2" borderId="15" xfId="0" applyNumberFormat="1" applyFill="1" applyBorder="1"/>
    <xf numFmtId="167" fontId="0" fillId="2" borderId="13" xfId="0" applyNumberFormat="1" applyFill="1" applyBorder="1"/>
    <xf numFmtId="9" fontId="29" fillId="2" borderId="11" xfId="22" applyNumberFormat="1" applyFont="1" applyFill="1" applyBorder="1"/>
    <xf numFmtId="166" fontId="0" fillId="3" borderId="0" xfId="0" applyNumberFormat="1" applyFill="1"/>
    <xf numFmtId="165" fontId="0" fillId="3" borderId="0" xfId="0" applyNumberFormat="1" applyFill="1"/>
    <xf numFmtId="169" fontId="0" fillId="3" borderId="0" xfId="0" applyNumberFormat="1" applyFill="1"/>
    <xf numFmtId="164" fontId="0" fillId="2" borderId="16" xfId="20" applyNumberFormat="1" applyFont="1" applyFill="1" applyBorder="1"/>
    <xf numFmtId="0" fontId="12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 applyBorder="1" applyAlignment="1">
      <alignment/>
    </xf>
    <xf numFmtId="164" fontId="0" fillId="6" borderId="0" xfId="0" applyNumberFormat="1" applyFill="1"/>
    <xf numFmtId="164" fontId="3" fillId="2" borderId="22" xfId="20" applyFont="1" applyFill="1" applyBorder="1" applyAlignment="1">
      <alignment horizontal="center"/>
    </xf>
    <xf numFmtId="164" fontId="0" fillId="2" borderId="23" xfId="20" applyFont="1" applyFill="1" applyBorder="1" applyAlignment="1">
      <alignment horizontal="center"/>
    </xf>
    <xf numFmtId="1" fontId="0" fillId="2" borderId="11" xfId="20" applyNumberFormat="1" applyFont="1" applyFill="1" applyBorder="1" applyAlignment="1">
      <alignment horizontal="center"/>
    </xf>
    <xf numFmtId="164" fontId="0" fillId="2" borderId="11" xfId="20" applyFont="1" applyFill="1" applyBorder="1" applyAlignment="1">
      <alignment horizontal="center"/>
    </xf>
    <xf numFmtId="164" fontId="3" fillId="2" borderId="11" xfId="20" applyFont="1" applyFill="1" applyBorder="1" applyAlignment="1">
      <alignment horizontal="center"/>
    </xf>
    <xf numFmtId="164" fontId="0" fillId="2" borderId="11" xfId="20" applyFont="1" applyFill="1" applyBorder="1" applyAlignment="1">
      <alignment vertical="center"/>
    </xf>
    <xf numFmtId="164" fontId="3" fillId="2" borderId="11" xfId="20" applyFont="1" applyFill="1" applyBorder="1" applyAlignment="1">
      <alignment vertical="center"/>
    </xf>
    <xf numFmtId="164" fontId="0" fillId="2" borderId="13" xfId="20" applyFont="1" applyFill="1" applyBorder="1" applyAlignment="1">
      <alignment horizontal="center"/>
    </xf>
    <xf numFmtId="164" fontId="0" fillId="2" borderId="24" xfId="20" applyFont="1" applyFill="1" applyBorder="1" applyAlignment="1">
      <alignment horizontal="center"/>
    </xf>
    <xf numFmtId="164" fontId="25" fillId="2" borderId="16" xfId="20" applyFont="1" applyFill="1" applyBorder="1" applyAlignment="1">
      <alignment horizontal="center"/>
    </xf>
    <xf numFmtId="164" fontId="3" fillId="2" borderId="25" xfId="20" applyFont="1" applyFill="1" applyBorder="1" applyAlignment="1">
      <alignment horizontal="center"/>
    </xf>
    <xf numFmtId="164" fontId="24" fillId="7" borderId="23" xfId="2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0" fillId="2" borderId="28" xfId="0" applyFill="1" applyBorder="1"/>
    <xf numFmtId="0" fontId="3" fillId="2" borderId="29" xfId="0" applyFont="1" applyFill="1" applyBorder="1"/>
    <xf numFmtId="0" fontId="0" fillId="7" borderId="11" xfId="0" applyFill="1" applyBorder="1"/>
    <xf numFmtId="0" fontId="0" fillId="8" borderId="11" xfId="0" applyFill="1" applyBorder="1"/>
    <xf numFmtId="2" fontId="0" fillId="5" borderId="11" xfId="0" applyNumberFormat="1" applyFill="1" applyBorder="1"/>
    <xf numFmtId="0" fontId="0" fillId="5" borderId="21" xfId="0" applyFill="1" applyBorder="1"/>
    <xf numFmtId="2" fontId="0" fillId="5" borderId="21" xfId="0" applyNumberFormat="1" applyFill="1" applyBorder="1"/>
    <xf numFmtId="10" fontId="0" fillId="4" borderId="30" xfId="22" applyNumberFormat="1" applyFont="1" applyFill="1" applyBorder="1" applyAlignment="1">
      <alignment horizontal="center"/>
    </xf>
    <xf numFmtId="20" fontId="43" fillId="4" borderId="2" xfId="0" applyNumberFormat="1" applyFont="1" applyFill="1" applyBorder="1" applyAlignment="1">
      <alignment horizontal="center" wrapText="1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11" xfId="0" applyFill="1" applyBorder="1" applyAlignment="1">
      <alignment horizontal="center" vertical="center"/>
    </xf>
    <xf numFmtId="164" fontId="24" fillId="4" borderId="31" xfId="20" applyNumberFormat="1" applyFont="1" applyFill="1" applyBorder="1"/>
    <xf numFmtId="167" fontId="0" fillId="8" borderId="11" xfId="0" applyNumberFormat="1" applyFill="1" applyBorder="1"/>
    <xf numFmtId="0" fontId="0" fillId="4" borderId="17" xfId="0" applyFill="1" applyBorder="1" applyAlignment="1">
      <alignment horizontal="center"/>
    </xf>
    <xf numFmtId="12" fontId="0" fillId="2" borderId="15" xfId="0" applyNumberFormat="1" applyFill="1" applyBorder="1"/>
    <xf numFmtId="170" fontId="0" fillId="4" borderId="16" xfId="20" applyNumberFormat="1" applyFont="1" applyFill="1" applyBorder="1"/>
    <xf numFmtId="170" fontId="0" fillId="2" borderId="14" xfId="20" applyNumberFormat="1" applyFont="1" applyFill="1" applyBorder="1"/>
    <xf numFmtId="170" fontId="0" fillId="2" borderId="11" xfId="20" applyNumberFormat="1" applyFont="1" applyFill="1" applyBorder="1"/>
    <xf numFmtId="170" fontId="0" fillId="2" borderId="16" xfId="20" applyNumberFormat="1" applyFont="1" applyFill="1" applyBorder="1"/>
    <xf numFmtId="170" fontId="12" fillId="4" borderId="12" xfId="20" applyNumberFormat="1" applyFont="1" applyFill="1" applyBorder="1"/>
    <xf numFmtId="170" fontId="0" fillId="2" borderId="0" xfId="20" applyNumberFormat="1" applyFont="1" applyFill="1"/>
    <xf numFmtId="170" fontId="0" fillId="4" borderId="17" xfId="20" applyNumberFormat="1" applyFont="1" applyFill="1" applyBorder="1"/>
    <xf numFmtId="170" fontId="0" fillId="2" borderId="15" xfId="20" applyNumberFormat="1" applyFont="1" applyFill="1" applyBorder="1"/>
    <xf numFmtId="170" fontId="0" fillId="2" borderId="13" xfId="20" applyNumberFormat="1" applyFont="1" applyFill="1" applyBorder="1"/>
    <xf numFmtId="170" fontId="0" fillId="2" borderId="20" xfId="0" applyNumberFormat="1" applyFill="1" applyBorder="1" applyAlignment="1">
      <alignment horizontal="center"/>
    </xf>
    <xf numFmtId="2" fontId="4" fillId="3" borderId="0" xfId="0" applyNumberFormat="1" applyFont="1" applyFill="1" applyAlignment="1">
      <alignment horizontal="center" vertical="center"/>
    </xf>
    <xf numFmtId="10" fontId="0" fillId="3" borderId="0" xfId="0" applyNumberFormat="1" applyFill="1"/>
    <xf numFmtId="0" fontId="0" fillId="2" borderId="0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4" fontId="0" fillId="2" borderId="30" xfId="0" applyNumberFormat="1" applyFill="1" applyBorder="1" applyAlignment="1">
      <alignment horizontal="center"/>
    </xf>
    <xf numFmtId="164" fontId="0" fillId="2" borderId="34" xfId="0" applyNumberFormat="1" applyFill="1" applyBorder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" fontId="0" fillId="7" borderId="0" xfId="0" applyNumberFormat="1" applyFill="1"/>
    <xf numFmtId="0" fontId="3" fillId="2" borderId="35" xfId="0" applyFont="1" applyFill="1" applyBorder="1" applyAlignment="1">
      <alignment/>
    </xf>
    <xf numFmtId="170" fontId="0" fillId="2" borderId="0" xfId="20" applyNumberFormat="1" applyFont="1" applyFill="1" applyBorder="1"/>
    <xf numFmtId="0" fontId="0" fillId="0" borderId="0" xfId="0" applyBorder="1"/>
    <xf numFmtId="170" fontId="3" fillId="2" borderId="11" xfId="20" applyNumberFormat="1" applyFont="1" applyFill="1" applyBorder="1" applyAlignment="1">
      <alignment horizontal="center"/>
    </xf>
    <xf numFmtId="2" fontId="0" fillId="2" borderId="0" xfId="0" applyNumberFormat="1" applyFill="1" applyBorder="1"/>
    <xf numFmtId="171" fontId="0" fillId="2" borderId="0" xfId="20" applyNumberFormat="1" applyFont="1" applyFill="1"/>
    <xf numFmtId="171" fontId="0" fillId="2" borderId="11" xfId="20" applyNumberFormat="1" applyFont="1" applyFill="1" applyBorder="1"/>
    <xf numFmtId="171" fontId="0" fillId="4" borderId="17" xfId="20" applyNumberFormat="1" applyFont="1" applyFill="1" applyBorder="1" applyAlignment="1">
      <alignment horizontal="center"/>
    </xf>
    <xf numFmtId="171" fontId="0" fillId="2" borderId="15" xfId="20" applyNumberFormat="1" applyFont="1" applyFill="1" applyBorder="1"/>
    <xf numFmtId="171" fontId="0" fillId="2" borderId="0" xfId="20" applyNumberFormat="1" applyFont="1" applyFill="1" applyBorder="1"/>
    <xf numFmtId="171" fontId="0" fillId="2" borderId="20" xfId="0" applyNumberFormat="1" applyFill="1" applyBorder="1" applyAlignment="1">
      <alignment horizontal="center"/>
    </xf>
    <xf numFmtId="171" fontId="0" fillId="4" borderId="17" xfId="20" applyNumberFormat="1" applyFont="1" applyFill="1" applyBorder="1"/>
    <xf numFmtId="171" fontId="0" fillId="2" borderId="13" xfId="20" applyNumberFormat="1" applyFont="1" applyFill="1" applyBorder="1"/>
    <xf numFmtId="171" fontId="0" fillId="4" borderId="16" xfId="20" applyNumberFormat="1" applyFont="1" applyFill="1" applyBorder="1"/>
    <xf numFmtId="171" fontId="0" fillId="2" borderId="14" xfId="20" applyNumberFormat="1" applyFont="1" applyFill="1" applyBorder="1"/>
    <xf numFmtId="171" fontId="0" fillId="2" borderId="16" xfId="20" applyNumberFormat="1" applyFont="1" applyFill="1" applyBorder="1"/>
    <xf numFmtId="171" fontId="12" fillId="4" borderId="12" xfId="20" applyNumberFormat="1" applyFont="1" applyFill="1" applyBorder="1"/>
    <xf numFmtId="171" fontId="3" fillId="2" borderId="11" xfId="20" applyNumberFormat="1" applyFont="1" applyFill="1" applyBorder="1" applyAlignment="1">
      <alignment horizontal="center"/>
    </xf>
    <xf numFmtId="171" fontId="3" fillId="2" borderId="0" xfId="20" applyNumberFormat="1" applyFont="1" applyFill="1" applyBorder="1"/>
    <xf numFmtId="171" fontId="13" fillId="2" borderId="0" xfId="0" applyNumberFormat="1" applyFont="1" applyFill="1" applyAlignment="1">
      <alignment horizontal="center"/>
    </xf>
    <xf numFmtId="12" fontId="0" fillId="2" borderId="11" xfId="0" applyNumberFormat="1" applyFill="1" applyBorder="1"/>
    <xf numFmtId="164" fontId="0" fillId="2" borderId="14" xfId="20" applyNumberFormat="1" applyFont="1" applyFill="1" applyBorder="1"/>
    <xf numFmtId="164" fontId="12" fillId="4" borderId="12" xfId="20" applyNumberFormat="1" applyFont="1" applyFill="1" applyBorder="1"/>
    <xf numFmtId="164" fontId="3" fillId="2" borderId="0" xfId="20" applyNumberFormat="1" applyFont="1" applyFill="1" applyBorder="1"/>
    <xf numFmtId="172" fontId="0" fillId="2" borderId="15" xfId="0" applyNumberFormat="1" applyFill="1" applyBorder="1"/>
    <xf numFmtId="164" fontId="3" fillId="2" borderId="14" xfId="20" applyNumberFormat="1" applyFont="1" applyFill="1" applyBorder="1"/>
    <xf numFmtId="13" fontId="0" fillId="2" borderId="15" xfId="0" applyNumberFormat="1" applyFill="1" applyBorder="1"/>
    <xf numFmtId="164" fontId="0" fillId="2" borderId="0" xfId="20" applyNumberFormat="1" applyFont="1" applyFill="1" applyBorder="1"/>
    <xf numFmtId="13" fontId="0" fillId="2" borderId="11" xfId="0" applyNumberFormat="1" applyFill="1" applyBorder="1"/>
    <xf numFmtId="173" fontId="0" fillId="2" borderId="11" xfId="20" applyNumberFormat="1" applyFont="1" applyFill="1" applyBorder="1"/>
    <xf numFmtId="164" fontId="0" fillId="7" borderId="11" xfId="20" applyFont="1" applyFill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alignment horizontal="center"/>
      <protection hidden="1"/>
    </xf>
    <xf numFmtId="164" fontId="0" fillId="7" borderId="11" xfId="20" applyFont="1" applyFill="1" applyBorder="1" applyAlignment="1" applyProtection="1">
      <alignment horizontal="center" wrapText="1"/>
      <protection hidden="1"/>
    </xf>
    <xf numFmtId="0" fontId="0" fillId="7" borderId="11" xfId="0" applyFill="1" applyBorder="1" applyAlignment="1" applyProtection="1">
      <alignment horizontal="center" vertical="center"/>
      <protection hidden="1"/>
    </xf>
    <xf numFmtId="171" fontId="0" fillId="7" borderId="11" xfId="2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164" fontId="0" fillId="2" borderId="11" xfId="20" applyFont="1" applyFill="1" applyBorder="1" applyProtection="1">
      <protection hidden="1"/>
    </xf>
    <xf numFmtId="0" fontId="0" fillId="2" borderId="11" xfId="0" applyFill="1" applyBorder="1" applyProtection="1">
      <protection hidden="1"/>
    </xf>
    <xf numFmtId="171" fontId="0" fillId="2" borderId="11" xfId="20" applyNumberFormat="1" applyFont="1" applyFill="1" applyBorder="1" applyProtection="1">
      <protection hidden="1"/>
    </xf>
    <xf numFmtId="164" fontId="0" fillId="2" borderId="0" xfId="20" applyFont="1" applyFill="1" applyProtection="1">
      <protection hidden="1"/>
    </xf>
    <xf numFmtId="0" fontId="0" fillId="4" borderId="11" xfId="0" applyFill="1" applyBorder="1" applyProtection="1">
      <protection hidden="1"/>
    </xf>
    <xf numFmtId="0" fontId="0" fillId="4" borderId="11" xfId="0" applyFill="1" applyBorder="1" applyAlignment="1" applyProtection="1">
      <alignment horizontal="center"/>
      <protection hidden="1"/>
    </xf>
    <xf numFmtId="2" fontId="0" fillId="4" borderId="11" xfId="0" applyNumberFormat="1" applyFill="1" applyBorder="1" applyAlignment="1" applyProtection="1">
      <alignment horizontal="center"/>
      <protection hidden="1"/>
    </xf>
    <xf numFmtId="0" fontId="3" fillId="2" borderId="11" xfId="0" applyFont="1" applyFill="1" applyBorder="1" applyProtection="1">
      <protection hidden="1"/>
    </xf>
    <xf numFmtId="0" fontId="0" fillId="2" borderId="11" xfId="0" applyFont="1" applyFill="1" applyBorder="1" applyProtection="1">
      <protection hidden="1"/>
    </xf>
    <xf numFmtId="170" fontId="0" fillId="2" borderId="11" xfId="20" applyNumberFormat="1" applyFont="1" applyFill="1" applyBorder="1" applyProtection="1">
      <protection hidden="1"/>
    </xf>
    <xf numFmtId="171" fontId="0" fillId="2" borderId="0" xfId="20" applyNumberFormat="1" applyFont="1" applyFill="1" applyProtection="1">
      <protection hidden="1"/>
    </xf>
    <xf numFmtId="0" fontId="0" fillId="3" borderId="0" xfId="0" applyFill="1" applyProtection="1">
      <protection hidden="1"/>
    </xf>
    <xf numFmtId="0" fontId="0" fillId="2" borderId="3" xfId="0" applyFill="1" applyBorder="1" applyProtection="1">
      <protection hidden="1"/>
    </xf>
    <xf numFmtId="0" fontId="34" fillId="2" borderId="4" xfId="0" applyFont="1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12" fillId="2" borderId="4" xfId="0" applyFont="1" applyFill="1" applyBorder="1" applyAlignment="1" applyProtection="1">
      <alignment horizontal="right"/>
      <protection hidden="1"/>
    </xf>
    <xf numFmtId="0" fontId="12" fillId="2" borderId="5" xfId="0" applyFont="1" applyFill="1" applyBorder="1" applyAlignment="1" applyProtection="1">
      <alignment horizontal="center"/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33" xfId="0" applyFill="1" applyBorder="1" applyAlignment="1" applyProtection="1">
      <alignment horizontal="center"/>
      <protection hidden="1"/>
    </xf>
    <xf numFmtId="14" fontId="0" fillId="2" borderId="30" xfId="0" applyNumberFormat="1" applyFill="1" applyBorder="1" applyAlignment="1" applyProtection="1">
      <alignment horizontal="center"/>
      <protection hidden="1"/>
    </xf>
    <xf numFmtId="1" fontId="0" fillId="2" borderId="32" xfId="0" applyNumberFormat="1" applyFill="1" applyBorder="1" applyAlignment="1" applyProtection="1">
      <alignment horizontal="center"/>
      <protection hidden="1"/>
    </xf>
    <xf numFmtId="0" fontId="0" fillId="2" borderId="32" xfId="0" applyFill="1" applyBorder="1" applyAlignment="1" applyProtection="1">
      <alignment horizontal="center"/>
      <protection hidden="1"/>
    </xf>
    <xf numFmtId="0" fontId="0" fillId="2" borderId="34" xfId="0" applyFill="1" applyBorder="1" applyAlignment="1" applyProtection="1">
      <alignment horizontal="center"/>
      <protection hidden="1"/>
    </xf>
    <xf numFmtId="20" fontId="0" fillId="2" borderId="34" xfId="0" applyNumberFormat="1" applyFill="1" applyBorder="1" applyAlignment="1" applyProtection="1">
      <alignment horizontal="center"/>
      <protection hidden="1"/>
    </xf>
    <xf numFmtId="0" fontId="18" fillId="2" borderId="32" xfId="2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wrapText="1"/>
      <protection hidden="1"/>
    </xf>
    <xf numFmtId="20" fontId="0" fillId="2" borderId="34" xfId="0" applyNumberFormat="1" applyFill="1" applyBorder="1" applyAlignment="1" applyProtection="1">
      <alignment horizontal="center" wrapText="1"/>
      <protection hidden="1"/>
    </xf>
    <xf numFmtId="0" fontId="0" fillId="2" borderId="5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36" xfId="0" applyFill="1" applyBorder="1" applyProtection="1">
      <protection hidden="1"/>
    </xf>
    <xf numFmtId="0" fontId="0" fillId="2" borderId="37" xfId="0" applyFill="1" applyBorder="1" applyProtection="1">
      <protection hidden="1"/>
    </xf>
    <xf numFmtId="0" fontId="0" fillId="2" borderId="2" xfId="0" applyFill="1" applyBorder="1" applyProtection="1">
      <protection hidden="1"/>
    </xf>
    <xf numFmtId="164" fontId="0" fillId="2" borderId="37" xfId="2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164" fontId="6" fillId="2" borderId="37" xfId="20" applyFont="1" applyFill="1" applyBorder="1" applyProtection="1">
      <protection hidden="1"/>
    </xf>
    <xf numFmtId="0" fontId="9" fillId="2" borderId="36" xfId="0" applyFont="1" applyFill="1" applyBorder="1" applyProtection="1">
      <protection hidden="1"/>
    </xf>
    <xf numFmtId="164" fontId="58" fillId="2" borderId="37" xfId="20" applyFont="1" applyFill="1" applyBorder="1" applyProtection="1">
      <protection hidden="1"/>
    </xf>
    <xf numFmtId="164" fontId="7" fillId="2" borderId="11" xfId="20" applyFont="1" applyFill="1" applyBorder="1" applyProtection="1">
      <protection hidden="1"/>
    </xf>
    <xf numFmtId="0" fontId="2" fillId="2" borderId="36" xfId="0" applyFont="1" applyFill="1" applyBorder="1" applyProtection="1">
      <protection hidden="1"/>
    </xf>
    <xf numFmtId="0" fontId="2" fillId="2" borderId="37" xfId="0" applyFont="1" applyFill="1" applyBorder="1" applyProtection="1">
      <protection hidden="1"/>
    </xf>
    <xf numFmtId="164" fontId="8" fillId="2" borderId="37" xfId="20" applyFont="1" applyFill="1" applyBorder="1" applyProtection="1">
      <protection hidden="1"/>
    </xf>
    <xf numFmtId="0" fontId="3" fillId="2" borderId="21" xfId="0" applyFont="1" applyFill="1" applyBorder="1" applyAlignment="1" applyProtection="1">
      <alignment horizontal="center"/>
      <protection hidden="1"/>
    </xf>
    <xf numFmtId="0" fontId="0" fillId="2" borderId="32" xfId="0" applyFill="1" applyBorder="1" applyAlignment="1" applyProtection="1">
      <alignment/>
      <protection hidden="1"/>
    </xf>
    <xf numFmtId="0" fontId="0" fillId="2" borderId="23" xfId="0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8" fillId="2" borderId="4" xfId="2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164" fontId="8" fillId="2" borderId="0" xfId="20" applyFont="1" applyFill="1" applyBorder="1" applyProtection="1">
      <protection hidden="1"/>
    </xf>
    <xf numFmtId="0" fontId="0" fillId="3" borderId="0" xfId="0" applyFont="1" applyFill="1" applyProtection="1">
      <protection hidden="1"/>
    </xf>
    <xf numFmtId="164" fontId="0" fillId="3" borderId="0" xfId="20" applyFont="1" applyFill="1" applyProtection="1">
      <protection hidden="1"/>
    </xf>
    <xf numFmtId="22" fontId="0" fillId="2" borderId="7" xfId="0" applyNumberFormat="1" applyFont="1" applyFill="1" applyBorder="1" applyProtection="1">
      <protection hidden="1"/>
    </xf>
    <xf numFmtId="0" fontId="0" fillId="2" borderId="7" xfId="0" applyFont="1" applyFill="1" applyBorder="1" applyProtection="1">
      <protection hidden="1"/>
    </xf>
    <xf numFmtId="164" fontId="0" fillId="2" borderId="7" xfId="20" applyFont="1" applyFill="1" applyBorder="1" applyProtection="1">
      <protection hidden="1"/>
    </xf>
    <xf numFmtId="164" fontId="0" fillId="2" borderId="8" xfId="20" applyFont="1" applyFill="1" applyBorder="1" applyProtection="1">
      <protection hidden="1"/>
    </xf>
    <xf numFmtId="0" fontId="0" fillId="2" borderId="3" xfId="0" applyFont="1" applyFill="1" applyBorder="1" applyProtection="1">
      <protection hidden="1"/>
    </xf>
    <xf numFmtId="0" fontId="0" fillId="2" borderId="4" xfId="0" applyFont="1" applyFill="1" applyBorder="1" applyProtection="1">
      <protection hidden="1"/>
    </xf>
    <xf numFmtId="164" fontId="0" fillId="2" borderId="4" xfId="20" applyFont="1" applyFill="1" applyBorder="1" applyProtection="1">
      <protection hidden="1"/>
    </xf>
    <xf numFmtId="164" fontId="0" fillId="2" borderId="5" xfId="20" applyFont="1" applyFill="1" applyBorder="1" applyProtection="1">
      <protection hidden="1"/>
    </xf>
    <xf numFmtId="0" fontId="0" fillId="2" borderId="1" xfId="0" applyFont="1" applyFill="1" applyBorder="1" applyProtection="1">
      <protection hidden="1"/>
    </xf>
    <xf numFmtId="0" fontId="0" fillId="2" borderId="0" xfId="0" applyFont="1" applyFill="1" applyBorder="1" applyProtection="1">
      <protection hidden="1"/>
    </xf>
    <xf numFmtId="164" fontId="0" fillId="2" borderId="0" xfId="20" applyFont="1" applyFill="1" applyBorder="1" applyProtection="1">
      <protection hidden="1"/>
    </xf>
    <xf numFmtId="164" fontId="0" fillId="2" borderId="2" xfId="20" applyFont="1" applyFill="1" applyBorder="1" applyProtection="1">
      <protection hidden="1"/>
    </xf>
    <xf numFmtId="164" fontId="0" fillId="2" borderId="23" xfId="20" applyFont="1" applyFill="1" applyBorder="1" applyProtection="1">
      <protection hidden="1"/>
    </xf>
    <xf numFmtId="0" fontId="0" fillId="2" borderId="15" xfId="0" applyFont="1" applyFill="1" applyBorder="1" applyProtection="1">
      <protection hidden="1"/>
    </xf>
    <xf numFmtId="164" fontId="0" fillId="3" borderId="0" xfId="0" applyNumberFormat="1" applyFont="1" applyFill="1" applyProtection="1">
      <protection hidden="1"/>
    </xf>
    <xf numFmtId="164" fontId="4" fillId="2" borderId="0" xfId="20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164" fontId="4" fillId="2" borderId="4" xfId="20" applyFont="1" applyFill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5" borderId="11" xfId="0" applyFont="1" applyFill="1" applyBorder="1" applyAlignment="1" applyProtection="1">
      <alignment horizontal="center"/>
      <protection hidden="1"/>
    </xf>
    <xf numFmtId="0" fontId="3" fillId="9" borderId="11" xfId="0" applyFont="1" applyFill="1" applyBorder="1" applyAlignment="1" applyProtection="1">
      <alignment horizontal="center"/>
      <protection hidden="1"/>
    </xf>
    <xf numFmtId="0" fontId="3" fillId="10" borderId="11" xfId="0" applyFont="1" applyFill="1" applyBorder="1" applyAlignment="1" applyProtection="1">
      <alignment horizontal="center"/>
      <protection hidden="1"/>
    </xf>
    <xf numFmtId="0" fontId="0" fillId="10" borderId="11" xfId="0" applyFill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3" fillId="4" borderId="11" xfId="0" applyFont="1" applyFill="1" applyBorder="1" applyProtection="1">
      <protection hidden="1"/>
    </xf>
    <xf numFmtId="0" fontId="0" fillId="6" borderId="0" xfId="0" applyFill="1" applyProtection="1">
      <protection hidden="1"/>
    </xf>
    <xf numFmtId="167" fontId="0" fillId="4" borderId="11" xfId="0" applyNumberFormat="1" applyFill="1" applyBorder="1" applyProtection="1">
      <protection hidden="1"/>
    </xf>
    <xf numFmtId="0" fontId="0" fillId="5" borderId="11" xfId="0" applyFill="1" applyBorder="1" applyProtection="1">
      <protection hidden="1"/>
    </xf>
    <xf numFmtId="164" fontId="0" fillId="5" borderId="11" xfId="0" applyNumberFormat="1" applyFill="1" applyBorder="1" applyProtection="1">
      <protection hidden="1"/>
    </xf>
    <xf numFmtId="0" fontId="0" fillId="9" borderId="11" xfId="0" applyFill="1" applyBorder="1" applyProtection="1">
      <protection hidden="1"/>
    </xf>
    <xf numFmtId="164" fontId="0" fillId="9" borderId="11" xfId="0" applyNumberFormat="1" applyFill="1" applyBorder="1" applyProtection="1">
      <protection hidden="1"/>
    </xf>
    <xf numFmtId="0" fontId="0" fillId="10" borderId="11" xfId="0" applyFill="1" applyBorder="1" applyProtection="1">
      <protection hidden="1"/>
    </xf>
    <xf numFmtId="164" fontId="0" fillId="10" borderId="11" xfId="0" applyNumberFormat="1" applyFill="1" applyBorder="1" applyProtection="1">
      <protection hidden="1"/>
    </xf>
    <xf numFmtId="0" fontId="0" fillId="0" borderId="11" xfId="0" applyBorder="1" applyProtection="1">
      <protection hidden="1"/>
    </xf>
    <xf numFmtId="164" fontId="0" fillId="0" borderId="11" xfId="0" applyNumberFormat="1" applyBorder="1" applyProtection="1">
      <protection hidden="1"/>
    </xf>
    <xf numFmtId="0" fontId="0" fillId="0" borderId="0" xfId="0" applyProtection="1">
      <protection hidden="1"/>
    </xf>
    <xf numFmtId="164" fontId="0" fillId="4" borderId="11" xfId="0" applyNumberFormat="1" applyFill="1" applyBorder="1" applyProtection="1">
      <protection hidden="1"/>
    </xf>
    <xf numFmtId="0" fontId="0" fillId="0" borderId="21" xfId="0" applyBorder="1" applyProtection="1">
      <protection hidden="1"/>
    </xf>
    <xf numFmtId="0" fontId="14" fillId="4" borderId="11" xfId="0" applyFont="1" applyFill="1" applyBorder="1" applyAlignment="1" applyProtection="1">
      <alignment horizontal="center" vertical="center"/>
      <protection hidden="1"/>
    </xf>
    <xf numFmtId="0" fontId="14" fillId="11" borderId="11" xfId="0" applyFont="1" applyFill="1" applyBorder="1" applyAlignment="1" applyProtection="1">
      <alignment horizontal="center" vertical="center"/>
      <protection hidden="1"/>
    </xf>
    <xf numFmtId="0" fontId="14" fillId="12" borderId="11" xfId="0" applyFont="1" applyFill="1" applyBorder="1" applyAlignment="1" applyProtection="1">
      <alignment horizontal="center" vertical="center"/>
      <protection hidden="1"/>
    </xf>
    <xf numFmtId="0" fontId="14" fillId="13" borderId="11" xfId="0" applyFont="1" applyFill="1" applyBorder="1" applyAlignment="1" applyProtection="1">
      <alignment horizontal="center" vertical="center"/>
      <protection hidden="1"/>
    </xf>
    <xf numFmtId="0" fontId="14" fillId="14" borderId="11" xfId="0" applyFont="1" applyFill="1" applyBorder="1" applyAlignment="1" applyProtection="1">
      <alignment horizontal="center" vertical="center"/>
      <protection hidden="1"/>
    </xf>
    <xf numFmtId="0" fontId="14" fillId="7" borderId="11" xfId="0" applyFont="1" applyFill="1" applyBorder="1" applyAlignment="1" applyProtection="1">
      <alignment horizontal="center" vertical="center"/>
      <protection hidden="1"/>
    </xf>
    <xf numFmtId="0" fontId="18" fillId="4" borderId="11" xfId="21" applyFill="1" applyBorder="1" applyAlignment="1" applyProtection="1">
      <alignment horizontal="left" vertical="center"/>
      <protection hidden="1"/>
    </xf>
    <xf numFmtId="0" fontId="18" fillId="11" borderId="11" xfId="21" applyFill="1" applyBorder="1" applyAlignment="1" applyProtection="1">
      <alignment horizontal="left" vertical="center"/>
      <protection hidden="1"/>
    </xf>
    <xf numFmtId="0" fontId="18" fillId="12" borderId="11" xfId="21" applyFill="1" applyBorder="1" applyAlignment="1" applyProtection="1">
      <alignment horizontal="left" vertical="center"/>
      <protection hidden="1"/>
    </xf>
    <xf numFmtId="0" fontId="18" fillId="13" borderId="11" xfId="21" applyFill="1" applyBorder="1" applyAlignment="1" applyProtection="1">
      <alignment horizontal="left" vertical="center"/>
      <protection hidden="1"/>
    </xf>
    <xf numFmtId="0" fontId="18" fillId="14" borderId="11" xfId="21" applyFill="1" applyBorder="1" applyAlignment="1" applyProtection="1">
      <alignment horizontal="left" vertical="center"/>
      <protection hidden="1"/>
    </xf>
    <xf numFmtId="0" fontId="18" fillId="7" borderId="11" xfId="21" applyFill="1" applyBorder="1" applyAlignment="1" applyProtection="1">
      <alignment horizontal="left" vertical="center"/>
      <protection hidden="1"/>
    </xf>
    <xf numFmtId="0" fontId="18" fillId="12" borderId="11" xfId="21" applyFill="1" applyBorder="1" applyAlignment="1" applyProtection="1">
      <alignment horizontal="left" vertical="center" wrapText="1"/>
      <protection hidden="1"/>
    </xf>
    <xf numFmtId="0" fontId="18" fillId="7" borderId="11" xfId="21" applyFill="1" applyBorder="1" applyAlignment="1" applyProtection="1">
      <alignment horizontal="left" vertical="center" wrapText="1"/>
      <protection hidden="1"/>
    </xf>
    <xf numFmtId="0" fontId="18" fillId="7" borderId="11" xfId="21" applyFill="1" applyBorder="1" applyAlignment="1" applyProtection="1" quotePrefix="1">
      <alignment horizontal="left" vertical="center"/>
      <protection hidden="1"/>
    </xf>
    <xf numFmtId="164" fontId="3" fillId="5" borderId="11" xfId="0" applyNumberFormat="1" applyFont="1" applyFill="1" applyBorder="1" applyProtection="1">
      <protection hidden="1"/>
    </xf>
    <xf numFmtId="0" fontId="18" fillId="14" borderId="11" xfId="21" applyFill="1" applyBorder="1" applyAlignment="1" applyProtection="1" quotePrefix="1">
      <alignment horizontal="left" vertical="center"/>
      <protection hidden="1"/>
    </xf>
    <xf numFmtId="0" fontId="18" fillId="7" borderId="11" xfId="21" applyFill="1" applyBorder="1" applyAlignment="1" applyProtection="1" quotePrefix="1">
      <alignment horizontal="left" vertical="center" wrapText="1"/>
      <protection hidden="1"/>
    </xf>
    <xf numFmtId="0" fontId="18" fillId="4" borderId="11" xfId="21" applyFill="1" applyBorder="1" applyAlignment="1" applyProtection="1" quotePrefix="1">
      <alignment horizontal="left" vertical="center"/>
      <protection hidden="1"/>
    </xf>
    <xf numFmtId="0" fontId="18" fillId="11" borderId="11" xfId="21" applyFill="1" applyBorder="1" applyAlignment="1" applyProtection="1" quotePrefix="1">
      <alignment horizontal="left" vertical="center"/>
      <protection hidden="1"/>
    </xf>
    <xf numFmtId="0" fontId="18" fillId="13" borderId="11" xfId="21" applyFill="1" applyBorder="1" applyAlignment="1" applyProtection="1" quotePrefix="1">
      <alignment horizontal="left" vertical="center"/>
      <protection hidden="1"/>
    </xf>
    <xf numFmtId="0" fontId="18" fillId="12" borderId="11" xfId="21" applyFill="1" applyBorder="1" applyAlignment="1" applyProtection="1" quotePrefix="1">
      <alignment horizontal="left" vertical="center" wrapText="1"/>
      <protection hidden="1"/>
    </xf>
    <xf numFmtId="0" fontId="3" fillId="5" borderId="11" xfId="0" applyFont="1" applyFill="1" applyBorder="1" applyProtection="1"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3" fillId="6" borderId="0" xfId="0" applyFont="1" applyFill="1" applyBorder="1" applyAlignment="1" applyProtection="1">
      <alignment vertical="center"/>
      <protection hidden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0" fontId="0" fillId="6" borderId="0" xfId="0" applyFill="1" applyBorder="1" applyProtection="1">
      <protection hidden="1"/>
    </xf>
    <xf numFmtId="0" fontId="12" fillId="2" borderId="5" xfId="0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/>
      <protection hidden="1"/>
    </xf>
    <xf numFmtId="1" fontId="0" fillId="2" borderId="32" xfId="23" applyNumberFormat="1" applyFont="1" applyFill="1" applyBorder="1" applyAlignment="1" applyProtection="1">
      <alignment horizontal="center"/>
      <protection hidden="1"/>
    </xf>
    <xf numFmtId="164" fontId="0" fillId="2" borderId="34" xfId="0" applyNumberFormat="1" applyFill="1" applyBorder="1" applyAlignment="1" applyProtection="1">
      <alignment horizontal="center"/>
      <protection hidden="1"/>
    </xf>
    <xf numFmtId="20" fontId="43" fillId="4" borderId="2" xfId="0" applyNumberFormat="1" applyFont="1" applyFill="1" applyBorder="1" applyAlignment="1" applyProtection="1">
      <alignment horizontal="center" wrapText="1"/>
      <protection hidden="1"/>
    </xf>
    <xf numFmtId="10" fontId="0" fillId="4" borderId="30" xfId="22" applyNumberFormat="1" applyFont="1" applyFill="1" applyBorder="1" applyAlignment="1" applyProtection="1">
      <alignment horizontal="center"/>
      <protection hidden="1"/>
    </xf>
    <xf numFmtId="20" fontId="0" fillId="2" borderId="2" xfId="0" applyNumberFormat="1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3" fillId="2" borderId="26" xfId="0" applyFont="1" applyFill="1" applyBorder="1" applyProtection="1">
      <protection hidden="1"/>
    </xf>
    <xf numFmtId="164" fontId="3" fillId="2" borderId="22" xfId="20" applyFont="1" applyFill="1" applyBorder="1" applyAlignment="1" applyProtection="1">
      <alignment horizontal="center"/>
      <protection hidden="1"/>
    </xf>
    <xf numFmtId="164" fontId="0" fillId="2" borderId="23" xfId="20" applyFont="1" applyFill="1" applyBorder="1" applyAlignment="1" applyProtection="1">
      <alignment horizontal="center"/>
      <protection hidden="1"/>
    </xf>
    <xf numFmtId="164" fontId="0" fillId="6" borderId="0" xfId="0" applyNumberFormat="1" applyFill="1" applyProtection="1">
      <protection hidden="1"/>
    </xf>
    <xf numFmtId="0" fontId="3" fillId="2" borderId="27" xfId="0" applyFont="1" applyFill="1" applyBorder="1" applyProtection="1">
      <protection hidden="1"/>
    </xf>
    <xf numFmtId="1" fontId="0" fillId="2" borderId="11" xfId="20" applyNumberFormat="1" applyFont="1" applyFill="1" applyBorder="1" applyAlignment="1" applyProtection="1">
      <alignment horizontal="center"/>
      <protection hidden="1"/>
    </xf>
    <xf numFmtId="164" fontId="0" fillId="2" borderId="11" xfId="20" applyFont="1" applyFill="1" applyBorder="1" applyAlignment="1" applyProtection="1">
      <alignment horizontal="center"/>
      <protection hidden="1"/>
    </xf>
    <xf numFmtId="164" fontId="3" fillId="2" borderId="11" xfId="20" applyFont="1" applyFill="1" applyBorder="1" applyAlignment="1" applyProtection="1">
      <alignment horizontal="center"/>
      <protection hidden="1"/>
    </xf>
    <xf numFmtId="164" fontId="0" fillId="2" borderId="13" xfId="20" applyFont="1" applyFill="1" applyBorder="1" applyAlignment="1" applyProtection="1">
      <alignment horizontal="center"/>
      <protection hidden="1"/>
    </xf>
    <xf numFmtId="164" fontId="0" fillId="2" borderId="24" xfId="20" applyFont="1" applyFill="1" applyBorder="1" applyAlignment="1" applyProtection="1">
      <alignment horizontal="center"/>
      <protection hidden="1"/>
    </xf>
    <xf numFmtId="0" fontId="0" fillId="2" borderId="28" xfId="0" applyFill="1" applyBorder="1" applyProtection="1">
      <protection hidden="1"/>
    </xf>
    <xf numFmtId="164" fontId="25" fillId="2" borderId="16" xfId="20" applyFont="1" applyFill="1" applyBorder="1" applyAlignment="1" applyProtection="1">
      <alignment horizontal="center"/>
      <protection hidden="1"/>
    </xf>
    <xf numFmtId="164" fontId="3" fillId="2" borderId="25" xfId="20" applyFont="1" applyFill="1" applyBorder="1" applyAlignment="1" applyProtection="1">
      <alignment horizontal="center"/>
      <protection hidden="1"/>
    </xf>
    <xf numFmtId="0" fontId="3" fillId="2" borderId="29" xfId="0" applyFont="1" applyFill="1" applyBorder="1" applyProtection="1">
      <protection hidden="1"/>
    </xf>
    <xf numFmtId="164" fontId="24" fillId="7" borderId="23" xfId="20" applyFont="1" applyFill="1" applyBorder="1" applyProtection="1">
      <protection hidden="1"/>
    </xf>
    <xf numFmtId="164" fontId="24" fillId="4" borderId="31" xfId="20" applyNumberFormat="1" applyFont="1" applyFill="1" applyBorder="1" applyProtection="1">
      <protection hidden="1"/>
    </xf>
    <xf numFmtId="0" fontId="4" fillId="3" borderId="0" xfId="0" applyFont="1" applyFill="1" applyProtection="1">
      <protection hidden="1"/>
    </xf>
    <xf numFmtId="0" fontId="44" fillId="3" borderId="38" xfId="0" applyFont="1" applyFill="1" applyBorder="1" applyAlignment="1" applyProtection="1">
      <alignment horizontal="center" vertical="center"/>
      <protection hidden="1"/>
    </xf>
    <xf numFmtId="0" fontId="0" fillId="4" borderId="0" xfId="0" applyFill="1" applyProtection="1">
      <protection hidden="1"/>
    </xf>
    <xf numFmtId="9" fontId="45" fillId="3" borderId="38" xfId="0" applyNumberFormat="1" applyFont="1" applyFill="1" applyBorder="1" applyAlignment="1" applyProtection="1">
      <alignment horizontal="center"/>
      <protection hidden="1"/>
    </xf>
    <xf numFmtId="9" fontId="40" fillId="3" borderId="0" xfId="0" applyNumberFormat="1" applyFont="1" applyFill="1" applyProtection="1">
      <protection hidden="1"/>
    </xf>
    <xf numFmtId="0" fontId="18" fillId="4" borderId="0" xfId="21" applyFill="1" applyAlignment="1" applyProtection="1">
      <alignment/>
      <protection hidden="1"/>
    </xf>
    <xf numFmtId="0" fontId="4" fillId="3" borderId="11" xfId="0" applyFont="1" applyFill="1" applyBorder="1" applyProtection="1">
      <protection hidden="1"/>
    </xf>
    <xf numFmtId="164" fontId="4" fillId="3" borderId="11" xfId="20" applyFont="1" applyFill="1" applyBorder="1" applyProtection="1">
      <protection hidden="1"/>
    </xf>
    <xf numFmtId="0" fontId="4" fillId="3" borderId="11" xfId="0" applyFont="1" applyFill="1" applyBorder="1" applyAlignment="1" applyProtection="1">
      <alignment horizontal="center"/>
      <protection hidden="1"/>
    </xf>
    <xf numFmtId="0" fontId="4" fillId="3" borderId="39" xfId="0" applyFont="1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0" fontId="4" fillId="3" borderId="40" xfId="0" applyFont="1" applyFill="1" applyBorder="1" applyProtection="1"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164" fontId="4" fillId="3" borderId="11" xfId="20" applyFont="1" applyFill="1" applyBorder="1" applyAlignment="1" applyProtection="1">
      <alignment horizontal="center" vertical="center"/>
      <protection hidden="1"/>
    </xf>
    <xf numFmtId="164" fontId="3" fillId="7" borderId="11" xfId="20" applyFont="1" applyFill="1" applyBorder="1" applyAlignment="1" applyProtection="1">
      <alignment horizontal="center" vertical="center"/>
      <protection hidden="1"/>
    </xf>
    <xf numFmtId="164" fontId="3" fillId="3" borderId="0" xfId="2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164" fontId="3" fillId="7" borderId="11" xfId="0" applyNumberFormat="1" applyFont="1" applyFill="1" applyBorder="1" applyAlignment="1" applyProtection="1">
      <alignment horizontal="center" vertical="center"/>
      <protection hidden="1"/>
    </xf>
    <xf numFmtId="0" fontId="4" fillId="3" borderId="41" xfId="0" applyFont="1" applyFill="1" applyBorder="1" applyProtection="1">
      <protection hidden="1"/>
    </xf>
    <xf numFmtId="0" fontId="4" fillId="3" borderId="33" xfId="0" applyFont="1" applyFill="1" applyBorder="1" applyProtection="1">
      <protection hidden="1"/>
    </xf>
    <xf numFmtId="0" fontId="4" fillId="3" borderId="42" xfId="0" applyFont="1" applyFill="1" applyBorder="1" applyProtection="1">
      <protection hidden="1"/>
    </xf>
    <xf numFmtId="1" fontId="4" fillId="3" borderId="11" xfId="20" applyNumberFormat="1" applyFont="1" applyFill="1" applyBorder="1" applyProtection="1">
      <protection hidden="1"/>
    </xf>
    <xf numFmtId="0" fontId="35" fillId="3" borderId="11" xfId="0" applyFont="1" applyFill="1" applyBorder="1" applyProtection="1">
      <protection hidden="1"/>
    </xf>
    <xf numFmtId="164" fontId="35" fillId="3" borderId="11" xfId="20" applyNumberFormat="1" applyFont="1" applyFill="1" applyBorder="1" applyProtection="1">
      <protection hidden="1"/>
    </xf>
    <xf numFmtId="164" fontId="26" fillId="3" borderId="11" xfId="20" applyFont="1" applyFill="1" applyBorder="1" applyProtection="1">
      <protection hidden="1"/>
    </xf>
    <xf numFmtId="2" fontId="4" fillId="3" borderId="0" xfId="0" applyNumberFormat="1" applyFont="1" applyFill="1" applyAlignment="1" applyProtection="1">
      <alignment horizontal="right"/>
      <protection hidden="1"/>
    </xf>
    <xf numFmtId="9" fontId="26" fillId="3" borderId="0" xfId="0" applyNumberFormat="1" applyFont="1" applyFill="1" applyProtection="1">
      <protection hidden="1"/>
    </xf>
    <xf numFmtId="9" fontId="4" fillId="3" borderId="0" xfId="0" applyNumberFormat="1" applyFont="1" applyFill="1" applyProtection="1">
      <protection hidden="1"/>
    </xf>
    <xf numFmtId="2" fontId="4" fillId="3" borderId="0" xfId="0" applyNumberFormat="1" applyFont="1" applyFill="1" applyProtection="1">
      <protection hidden="1"/>
    </xf>
    <xf numFmtId="168" fontId="35" fillId="3" borderId="11" xfId="20" applyNumberFormat="1" applyFont="1" applyFill="1" applyBorder="1" applyProtection="1">
      <protection hidden="1"/>
    </xf>
    <xf numFmtId="0" fontId="26" fillId="3" borderId="11" xfId="0" applyFont="1" applyFill="1" applyBorder="1" applyAlignment="1" applyProtection="1">
      <alignment horizontal="center"/>
      <protection hidden="1"/>
    </xf>
    <xf numFmtId="164" fontId="4" fillId="3" borderId="0" xfId="0" applyNumberFormat="1" applyFont="1" applyFill="1" applyProtection="1">
      <protection hidden="1"/>
    </xf>
    <xf numFmtId="0" fontId="26" fillId="3" borderId="11" xfId="0" applyFont="1" applyFill="1" applyBorder="1" applyProtection="1">
      <protection hidden="1"/>
    </xf>
    <xf numFmtId="0" fontId="31" fillId="3" borderId="11" xfId="0" applyFont="1" applyFill="1" applyBorder="1" applyAlignment="1" applyProtection="1">
      <alignment horizontal="center"/>
      <protection hidden="1"/>
    </xf>
    <xf numFmtId="2" fontId="35" fillId="3" borderId="11" xfId="0" applyNumberFormat="1" applyFont="1" applyFill="1" applyBorder="1" applyProtection="1">
      <protection hidden="1"/>
    </xf>
    <xf numFmtId="2" fontId="26" fillId="3" borderId="11" xfId="0" applyNumberFormat="1" applyFont="1" applyFill="1" applyBorder="1" applyProtection="1">
      <protection hidden="1"/>
    </xf>
    <xf numFmtId="0" fontId="41" fillId="3" borderId="43" xfId="21" applyFont="1" applyFill="1" applyBorder="1" applyAlignment="1" applyProtection="1">
      <alignment horizontal="center"/>
      <protection hidden="1"/>
    </xf>
    <xf numFmtId="1" fontId="3" fillId="7" borderId="11" xfId="0" applyNumberFormat="1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/>
    </xf>
    <xf numFmtId="0" fontId="49" fillId="2" borderId="3" xfId="0" applyFont="1" applyFill="1" applyBorder="1" applyAlignment="1" applyProtection="1">
      <alignment horizontal="center"/>
      <protection hidden="1"/>
    </xf>
    <xf numFmtId="0" fontId="49" fillId="2" borderId="4" xfId="0" applyFont="1" applyFill="1" applyBorder="1" applyAlignment="1" applyProtection="1">
      <alignment horizontal="center"/>
      <protection hidden="1"/>
    </xf>
    <xf numFmtId="0" fontId="49" fillId="2" borderId="5" xfId="0" applyFont="1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3" borderId="23" xfId="0" applyFill="1" applyBorder="1" applyAlignment="1" applyProtection="1">
      <alignment horizontal="center"/>
      <protection hidden="1"/>
    </xf>
    <xf numFmtId="0" fontId="46" fillId="2" borderId="6" xfId="0" applyFont="1" applyFill="1" applyBorder="1" applyAlignment="1" applyProtection="1">
      <alignment horizontal="center" vertical="center"/>
      <protection hidden="1"/>
    </xf>
    <xf numFmtId="0" fontId="46" fillId="2" borderId="7" xfId="0" applyFont="1" applyFill="1" applyBorder="1" applyAlignment="1" applyProtection="1">
      <alignment horizontal="center" vertical="center"/>
      <protection hidden="1"/>
    </xf>
    <xf numFmtId="0" fontId="46" fillId="2" borderId="8" xfId="0" applyFont="1" applyFill="1" applyBorder="1" applyAlignment="1" applyProtection="1">
      <alignment horizontal="center" vertical="center"/>
      <protection hidden="1"/>
    </xf>
    <xf numFmtId="0" fontId="46" fillId="2" borderId="1" xfId="0" applyFont="1" applyFill="1" applyBorder="1" applyAlignment="1" applyProtection="1">
      <alignment horizontal="center" vertical="center"/>
      <protection hidden="1"/>
    </xf>
    <xf numFmtId="0" fontId="46" fillId="2" borderId="0" xfId="0" applyFont="1" applyFill="1" applyBorder="1" applyAlignment="1" applyProtection="1">
      <alignment horizontal="center" vertical="center"/>
      <protection hidden="1"/>
    </xf>
    <xf numFmtId="0" fontId="46" fillId="2" borderId="2" xfId="0" applyFont="1" applyFill="1" applyBorder="1" applyAlignment="1" applyProtection="1">
      <alignment horizontal="center" vertical="center"/>
      <protection hidden="1"/>
    </xf>
    <xf numFmtId="0" fontId="47" fillId="2" borderId="3" xfId="0" applyFont="1" applyFill="1" applyBorder="1" applyAlignment="1" applyProtection="1">
      <alignment horizontal="center" vertical="center"/>
      <protection hidden="1"/>
    </xf>
    <xf numFmtId="0" fontId="47" fillId="2" borderId="4" xfId="0" applyFont="1" applyFill="1" applyBorder="1" applyAlignment="1" applyProtection="1">
      <alignment horizontal="center" vertical="center"/>
      <protection hidden="1"/>
    </xf>
    <xf numFmtId="0" fontId="47" fillId="2" borderId="5" xfId="0" applyFont="1" applyFill="1" applyBorder="1" applyAlignment="1" applyProtection="1">
      <alignment horizontal="center" vertical="center"/>
      <protection hidden="1"/>
    </xf>
    <xf numFmtId="0" fontId="0" fillId="2" borderId="44" xfId="0" applyFill="1" applyBorder="1" applyAlignment="1" applyProtection="1">
      <alignment horizontal="center" vertical="center" wrapText="1"/>
      <protection hidden="1"/>
    </xf>
    <xf numFmtId="0" fontId="0" fillId="2" borderId="45" xfId="0" applyFill="1" applyBorder="1" applyAlignment="1" applyProtection="1">
      <alignment horizontal="center" vertical="center"/>
      <protection hidden="1"/>
    </xf>
    <xf numFmtId="0" fontId="0" fillId="2" borderId="46" xfId="0" applyFill="1" applyBorder="1" applyAlignment="1" applyProtection="1">
      <alignment horizontal="center" vertical="center"/>
      <protection hidden="1"/>
    </xf>
    <xf numFmtId="0" fontId="0" fillId="2" borderId="39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41" xfId="0" applyFill="1" applyBorder="1" applyAlignment="1" applyProtection="1">
      <alignment horizontal="center" vertical="center"/>
      <protection hidden="1"/>
    </xf>
    <xf numFmtId="0" fontId="0" fillId="2" borderId="33" xfId="0" applyFill="1" applyBorder="1" applyAlignment="1" applyProtection="1">
      <alignment horizontal="center" vertical="center"/>
      <protection hidden="1"/>
    </xf>
    <xf numFmtId="0" fontId="0" fillId="2" borderId="30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48" fillId="2" borderId="1" xfId="0" applyFont="1" applyFill="1" applyBorder="1" applyAlignment="1" applyProtection="1">
      <alignment horizontal="center" vertical="center"/>
      <protection hidden="1"/>
    </xf>
    <xf numFmtId="0" fontId="48" fillId="2" borderId="0" xfId="0" applyFont="1" applyFill="1" applyBorder="1" applyAlignment="1" applyProtection="1">
      <alignment horizontal="center" vertical="center"/>
      <protection hidden="1"/>
    </xf>
    <xf numFmtId="0" fontId="48" fillId="2" borderId="2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Alignment="1" applyProtection="1">
      <alignment horizontal="center"/>
      <protection hidden="1"/>
    </xf>
    <xf numFmtId="0" fontId="0" fillId="3" borderId="47" xfId="0" applyFill="1" applyBorder="1" applyAlignment="1" applyProtection="1">
      <alignment horizontal="center"/>
      <protection hidden="1"/>
    </xf>
    <xf numFmtId="0" fontId="0" fillId="3" borderId="48" xfId="0" applyFill="1" applyBorder="1" applyAlignment="1" applyProtection="1">
      <alignment horizontal="center"/>
      <protection hidden="1"/>
    </xf>
    <xf numFmtId="164" fontId="0" fillId="2" borderId="44" xfId="20" applyNumberFormat="1" applyFont="1" applyFill="1" applyBorder="1" applyAlignment="1" applyProtection="1">
      <alignment horizontal="center" vertical="center"/>
      <protection hidden="1"/>
    </xf>
    <xf numFmtId="164" fontId="0" fillId="2" borderId="10" xfId="20" applyNumberFormat="1" applyFont="1" applyFill="1" applyBorder="1" applyAlignment="1" applyProtection="1">
      <alignment horizontal="center" vertical="center"/>
      <protection hidden="1"/>
    </xf>
    <xf numFmtId="164" fontId="0" fillId="2" borderId="39" xfId="20" applyNumberFormat="1" applyFont="1" applyFill="1" applyBorder="1" applyAlignment="1" applyProtection="1">
      <alignment horizontal="center" vertical="center"/>
      <protection hidden="1"/>
    </xf>
    <xf numFmtId="164" fontId="0" fillId="2" borderId="40" xfId="20" applyNumberFormat="1" applyFont="1" applyFill="1" applyBorder="1" applyAlignment="1" applyProtection="1">
      <alignment horizontal="center" vertical="center"/>
      <protection hidden="1"/>
    </xf>
    <xf numFmtId="164" fontId="0" fillId="2" borderId="41" xfId="20" applyNumberFormat="1" applyFont="1" applyFill="1" applyBorder="1" applyAlignment="1" applyProtection="1">
      <alignment horizontal="center" vertical="center"/>
      <protection hidden="1"/>
    </xf>
    <xf numFmtId="164" fontId="0" fillId="2" borderId="42" xfId="20" applyNumberFormat="1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164" fontId="0" fillId="2" borderId="49" xfId="20" applyNumberFormat="1" applyFont="1" applyFill="1" applyBorder="1" applyAlignment="1" applyProtection="1">
      <alignment horizontal="center"/>
      <protection hidden="1"/>
    </xf>
    <xf numFmtId="164" fontId="0" fillId="2" borderId="22" xfId="20" applyNumberFormat="1" applyFont="1" applyFill="1" applyBorder="1" applyAlignment="1" applyProtection="1">
      <alignment horizontal="center"/>
      <protection hidden="1"/>
    </xf>
    <xf numFmtId="164" fontId="0" fillId="2" borderId="37" xfId="20" applyNumberFormat="1" applyFont="1" applyFill="1" applyBorder="1" applyAlignment="1" applyProtection="1">
      <alignment horizontal="center"/>
      <protection hidden="1"/>
    </xf>
    <xf numFmtId="164" fontId="0" fillId="2" borderId="11" xfId="20" applyNumberFormat="1" applyFont="1" applyFill="1" applyBorder="1" applyAlignment="1" applyProtection="1">
      <alignment horizontal="center"/>
      <protection hidden="1"/>
    </xf>
    <xf numFmtId="0" fontId="0" fillId="3" borderId="50" xfId="0" applyFill="1" applyBorder="1" applyAlignment="1" applyProtection="1">
      <alignment horizontal="center"/>
      <protection hidden="1"/>
    </xf>
    <xf numFmtId="0" fontId="0" fillId="3" borderId="51" xfId="0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52" xfId="0" applyFont="1" applyFill="1" applyBorder="1" applyAlignment="1" applyProtection="1">
      <alignment horizontal="center" vertical="center"/>
      <protection hidden="1"/>
    </xf>
    <xf numFmtId="0" fontId="3" fillId="2" borderId="53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54" xfId="0" applyFont="1" applyFill="1" applyBorder="1" applyAlignment="1" applyProtection="1">
      <alignment horizontal="center" vertical="center"/>
      <protection hidden="1"/>
    </xf>
    <xf numFmtId="0" fontId="0" fillId="2" borderId="55" xfId="0" applyFill="1" applyBorder="1" applyAlignment="1" applyProtection="1">
      <alignment horizontal="left" vertical="center"/>
      <protection hidden="1"/>
    </xf>
    <xf numFmtId="0" fontId="0" fillId="2" borderId="56" xfId="0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3" xfId="0" applyFill="1" applyBorder="1" applyAlignment="1" applyProtection="1">
      <alignment horizontal="left"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3" fillId="2" borderId="56" xfId="0" applyFont="1" applyFill="1" applyBorder="1" applyAlignment="1" applyProtection="1">
      <alignment horizontal="left"/>
      <protection hidden="1"/>
    </xf>
    <xf numFmtId="0" fontId="24" fillId="7" borderId="11" xfId="0" applyFont="1" applyFill="1" applyBorder="1" applyAlignment="1" applyProtection="1">
      <alignment horizontal="left"/>
      <protection hidden="1"/>
    </xf>
    <xf numFmtId="0" fontId="24" fillId="4" borderId="57" xfId="0" applyFont="1" applyFill="1" applyBorder="1" applyAlignment="1" applyProtection="1">
      <alignment horizontal="left"/>
      <protection hidden="1"/>
    </xf>
    <xf numFmtId="0" fontId="24" fillId="4" borderId="19" xfId="0" applyFont="1" applyFill="1" applyBorder="1" applyAlignment="1" applyProtection="1">
      <alignment horizontal="left"/>
      <protection hidden="1"/>
    </xf>
    <xf numFmtId="164" fontId="0" fillId="2" borderId="32" xfId="20" applyNumberFormat="1" applyFont="1" applyFill="1" applyBorder="1" applyAlignment="1" applyProtection="1">
      <alignment horizontal="center"/>
      <protection hidden="1"/>
    </xf>
    <xf numFmtId="164" fontId="0" fillId="2" borderId="10" xfId="20" applyNumberFormat="1" applyFont="1" applyFill="1" applyBorder="1" applyAlignment="1" applyProtection="1">
      <alignment horizontal="center"/>
      <protection hidden="1"/>
    </xf>
    <xf numFmtId="164" fontId="0" fillId="2" borderId="13" xfId="20" applyNumberFormat="1" applyFont="1" applyFill="1" applyBorder="1" applyAlignment="1" applyProtection="1">
      <alignment horizontal="center"/>
      <protection hidden="1"/>
    </xf>
    <xf numFmtId="164" fontId="23" fillId="2" borderId="20" xfId="20" applyFont="1" applyFill="1" applyBorder="1" applyAlignment="1" applyProtection="1">
      <alignment horizontal="center"/>
      <protection hidden="1"/>
    </xf>
    <xf numFmtId="164" fontId="23" fillId="2" borderId="16" xfId="20" applyFont="1" applyFill="1" applyBorder="1" applyAlignment="1" applyProtection="1">
      <alignment horizontal="center"/>
      <protection hidden="1"/>
    </xf>
    <xf numFmtId="164" fontId="25" fillId="2" borderId="58" xfId="20" applyFont="1" applyFill="1" applyBorder="1" applyAlignment="1" applyProtection="1">
      <alignment horizontal="center" vertical="center"/>
      <protection hidden="1"/>
    </xf>
    <xf numFmtId="164" fontId="25" fillId="2" borderId="59" xfId="2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0" fillId="2" borderId="49" xfId="20" applyFont="1" applyFill="1" applyBorder="1" applyAlignment="1">
      <alignment horizontal="center"/>
    </xf>
    <xf numFmtId="164" fontId="0" fillId="2" borderId="22" xfId="20" applyFont="1" applyFill="1" applyBorder="1" applyAlignment="1">
      <alignment horizontal="center"/>
    </xf>
    <xf numFmtId="164" fontId="0" fillId="2" borderId="37" xfId="20" applyFont="1" applyFill="1" applyBorder="1" applyAlignment="1">
      <alignment horizontal="center"/>
    </xf>
    <xf numFmtId="164" fontId="0" fillId="2" borderId="11" xfId="2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164" fontId="0" fillId="2" borderId="44" xfId="20" applyNumberFormat="1" applyFont="1" applyFill="1" applyBorder="1" applyAlignment="1">
      <alignment horizontal="center" vertical="center"/>
    </xf>
    <xf numFmtId="164" fontId="0" fillId="2" borderId="41" xfId="20" applyNumberFormat="1" applyFont="1" applyFill="1" applyBorder="1" applyAlignment="1">
      <alignment horizontal="center" vertical="center"/>
    </xf>
    <xf numFmtId="164" fontId="55" fillId="2" borderId="13" xfId="20" applyNumberFormat="1" applyFont="1" applyFill="1" applyBorder="1" applyAlignment="1">
      <alignment horizontal="center" vertical="center" textRotation="90"/>
    </xf>
    <xf numFmtId="164" fontId="55" fillId="2" borderId="15" xfId="20" applyNumberFormat="1" applyFont="1" applyFill="1" applyBorder="1" applyAlignment="1">
      <alignment horizontal="center" vertical="center" textRotation="90"/>
    </xf>
    <xf numFmtId="0" fontId="3" fillId="2" borderId="56" xfId="0" applyFont="1" applyFill="1" applyBorder="1" applyAlignment="1">
      <alignment horizontal="left"/>
    </xf>
    <xf numFmtId="164" fontId="3" fillId="2" borderId="11" xfId="20" applyFont="1" applyFill="1" applyBorder="1" applyAlignment="1">
      <alignment horizontal="center" vertical="center"/>
    </xf>
    <xf numFmtId="0" fontId="24" fillId="4" borderId="57" xfId="0" applyFont="1" applyFill="1" applyBorder="1" applyAlignment="1">
      <alignment horizontal="left"/>
    </xf>
    <xf numFmtId="0" fontId="24" fillId="4" borderId="19" xfId="0" applyFont="1" applyFill="1" applyBorder="1" applyAlignment="1">
      <alignment horizontal="left"/>
    </xf>
    <xf numFmtId="170" fontId="0" fillId="2" borderId="37" xfId="20" applyNumberFormat="1" applyFont="1" applyFill="1" applyBorder="1" applyAlignment="1">
      <alignment horizontal="center"/>
    </xf>
    <xf numFmtId="170" fontId="0" fillId="2" borderId="11" xfId="20" applyNumberFormat="1" applyFont="1" applyFill="1" applyBorder="1" applyAlignment="1">
      <alignment horizontal="center"/>
    </xf>
    <xf numFmtId="0" fontId="0" fillId="2" borderId="55" xfId="0" applyFill="1" applyBorder="1" applyAlignment="1">
      <alignment horizontal="left" vertical="center"/>
    </xf>
    <xf numFmtId="0" fontId="0" fillId="2" borderId="56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164" fontId="0" fillId="2" borderId="10" xfId="20" applyFont="1" applyFill="1" applyBorder="1" applyAlignment="1">
      <alignment horizontal="center"/>
    </xf>
    <xf numFmtId="164" fontId="0" fillId="2" borderId="13" xfId="20" applyFont="1" applyFill="1" applyBorder="1" applyAlignment="1">
      <alignment horizontal="center"/>
    </xf>
    <xf numFmtId="164" fontId="23" fillId="2" borderId="20" xfId="20" applyFont="1" applyFill="1" applyBorder="1" applyAlignment="1">
      <alignment horizontal="center"/>
    </xf>
    <xf numFmtId="164" fontId="23" fillId="2" borderId="16" xfId="20" applyFont="1" applyFill="1" applyBorder="1" applyAlignment="1">
      <alignment horizontal="center"/>
    </xf>
    <xf numFmtId="164" fontId="25" fillId="2" borderId="58" xfId="20" applyFont="1" applyFill="1" applyBorder="1" applyAlignment="1">
      <alignment horizontal="center" vertical="center"/>
    </xf>
    <xf numFmtId="164" fontId="25" fillId="2" borderId="59" xfId="20" applyFont="1" applyFill="1" applyBorder="1" applyAlignment="1">
      <alignment horizontal="center" vertical="center"/>
    </xf>
    <xf numFmtId="164" fontId="0" fillId="2" borderId="32" xfId="20" applyFont="1" applyFill="1" applyBorder="1" applyAlignment="1">
      <alignment horizontal="center"/>
    </xf>
    <xf numFmtId="0" fontId="24" fillId="7" borderId="11" xfId="0" applyFont="1" applyFill="1" applyBorder="1" applyAlignment="1">
      <alignment horizontal="left"/>
    </xf>
    <xf numFmtId="0" fontId="17" fillId="7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0" fontId="10" fillId="2" borderId="8" xfId="0" applyFont="1" applyFill="1" applyBorder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center"/>
      <protection hidden="1"/>
    </xf>
    <xf numFmtId="0" fontId="11" fillId="2" borderId="4" xfId="0" applyFont="1" applyFill="1" applyBorder="1" applyAlignment="1" applyProtection="1">
      <alignment horizontal="center"/>
      <protection hidden="1"/>
    </xf>
    <xf numFmtId="0" fontId="11" fillId="2" borderId="5" xfId="0" applyFont="1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1" xfId="0" applyFont="1" applyFill="1" applyBorder="1" applyAlignment="1" applyProtection="1">
      <alignment horizontal="center"/>
      <protection hidden="1"/>
    </xf>
    <xf numFmtId="22" fontId="0" fillId="2" borderId="7" xfId="0" applyNumberFormat="1" applyFont="1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0" fillId="2" borderId="32" xfId="0" applyFill="1" applyBorder="1" applyAlignment="1" applyProtection="1">
      <alignment horizontal="center"/>
      <protection hidden="1"/>
    </xf>
    <xf numFmtId="0" fontId="0" fillId="2" borderId="37" xfId="0" applyFill="1" applyBorder="1" applyAlignment="1" applyProtection="1">
      <alignment horizontal="center"/>
      <protection hidden="1"/>
    </xf>
    <xf numFmtId="0" fontId="0" fillId="2" borderId="21" xfId="0" applyFont="1" applyFill="1" applyBorder="1" applyAlignment="1" applyProtection="1">
      <alignment horizontal="center"/>
      <protection hidden="1"/>
    </xf>
    <xf numFmtId="0" fontId="0" fillId="2" borderId="32" xfId="0" applyFont="1" applyFill="1" applyBorder="1" applyAlignment="1" applyProtection="1">
      <alignment horizontal="center"/>
      <protection hidden="1"/>
    </xf>
    <xf numFmtId="0" fontId="0" fillId="2" borderId="37" xfId="0" applyFont="1" applyFill="1" applyBorder="1" applyAlignment="1" applyProtection="1">
      <alignment horizontal="center"/>
      <protection hidden="1"/>
    </xf>
    <xf numFmtId="0" fontId="0" fillId="2" borderId="57" xfId="0" applyFont="1" applyFill="1" applyBorder="1" applyAlignment="1" applyProtection="1">
      <alignment horizontal="center"/>
      <protection hidden="1"/>
    </xf>
    <xf numFmtId="0" fontId="0" fillId="2" borderId="61" xfId="0" applyFont="1" applyFill="1" applyBorder="1" applyAlignment="1" applyProtection="1">
      <alignment horizontal="center"/>
      <protection hidden="1"/>
    </xf>
    <xf numFmtId="0" fontId="0" fillId="2" borderId="19" xfId="0" applyFont="1" applyFill="1" applyBorder="1" applyAlignment="1" applyProtection="1">
      <alignment horizontal="center"/>
      <protection hidden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3" borderId="21" xfId="0" applyFont="1" applyFill="1" applyBorder="1" applyAlignment="1" applyProtection="1">
      <alignment horizontal="center"/>
      <protection hidden="1"/>
    </xf>
    <xf numFmtId="0" fontId="30" fillId="3" borderId="32" xfId="0" applyFont="1" applyFill="1" applyBorder="1" applyAlignment="1" applyProtection="1">
      <alignment horizontal="center"/>
      <protection hidden="1"/>
    </xf>
    <xf numFmtId="0" fontId="30" fillId="3" borderId="37" xfId="0" applyFont="1" applyFill="1" applyBorder="1" applyAlignment="1" applyProtection="1">
      <alignment horizontal="center"/>
      <protection hidden="1"/>
    </xf>
    <xf numFmtId="0" fontId="34" fillId="11" borderId="21" xfId="0" applyFont="1" applyFill="1" applyBorder="1" applyAlignment="1" applyProtection="1">
      <alignment horizontal="center"/>
      <protection hidden="1"/>
    </xf>
    <xf numFmtId="0" fontId="34" fillId="11" borderId="37" xfId="0" applyFont="1" applyFill="1" applyBorder="1" applyAlignment="1" applyProtection="1">
      <alignment horizontal="center"/>
      <protection hidden="1"/>
    </xf>
    <xf numFmtId="0" fontId="36" fillId="7" borderId="11" xfId="21" applyFont="1" applyFill="1" applyBorder="1" applyAlignment="1" applyProtection="1">
      <alignment horizontal="center"/>
      <protection hidden="1"/>
    </xf>
    <xf numFmtId="0" fontId="35" fillId="3" borderId="11" xfId="0" applyFont="1" applyFill="1" applyBorder="1" applyAlignment="1" applyProtection="1">
      <alignment horizontal="center"/>
      <protection hidden="1"/>
    </xf>
    <xf numFmtId="0" fontId="33" fillId="3" borderId="21" xfId="0" applyFont="1" applyFill="1" applyBorder="1" applyAlignment="1" applyProtection="1">
      <alignment horizontal="center"/>
      <protection hidden="1"/>
    </xf>
    <xf numFmtId="0" fontId="33" fillId="3" borderId="32" xfId="0" applyFont="1" applyFill="1" applyBorder="1" applyAlignment="1" applyProtection="1">
      <alignment horizontal="center"/>
      <protection hidden="1"/>
    </xf>
    <xf numFmtId="0" fontId="33" fillId="3" borderId="37" xfId="0" applyFont="1" applyFill="1" applyBorder="1" applyAlignment="1" applyProtection="1">
      <alignment horizontal="center"/>
      <protection hidden="1"/>
    </xf>
    <xf numFmtId="0" fontId="42" fillId="7" borderId="11" xfId="21" applyFont="1" applyFill="1" applyBorder="1" applyAlignment="1" applyProtection="1">
      <alignment horizontal="center"/>
      <protection hidden="1"/>
    </xf>
    <xf numFmtId="0" fontId="35" fillId="3" borderId="11" xfId="0" applyFont="1" applyFill="1" applyBorder="1" applyAlignment="1" applyProtection="1">
      <alignment horizontal="center" vertical="center"/>
      <protection hidden="1"/>
    </xf>
    <xf numFmtId="0" fontId="27" fillId="7" borderId="11" xfId="0" applyFont="1" applyFill="1" applyBorder="1" applyAlignment="1" applyProtection="1">
      <alignment horizontal="center"/>
      <protection hidden="1"/>
    </xf>
    <xf numFmtId="0" fontId="12" fillId="13" borderId="21" xfId="0" applyFont="1" applyFill="1" applyBorder="1" applyAlignment="1" applyProtection="1">
      <alignment horizontal="center"/>
      <protection hidden="1"/>
    </xf>
    <xf numFmtId="0" fontId="12" fillId="13" borderId="37" xfId="0" applyFont="1" applyFill="1" applyBorder="1" applyAlignment="1" applyProtection="1">
      <alignment horizontal="center"/>
      <protection hidden="1"/>
    </xf>
    <xf numFmtId="0" fontId="37" fillId="3" borderId="11" xfId="0" applyFont="1" applyFill="1" applyBorder="1" applyAlignment="1" applyProtection="1">
      <alignment horizontal="center" vertical="center"/>
      <protection hidden="1"/>
    </xf>
    <xf numFmtId="0" fontId="32" fillId="3" borderId="11" xfId="0" applyFont="1" applyFill="1" applyBorder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/>
      <protection hidden="1"/>
    </xf>
    <xf numFmtId="164" fontId="0" fillId="4" borderId="62" xfId="20" applyFont="1" applyFill="1" applyBorder="1" applyAlignment="1">
      <alignment horizontal="center"/>
    </xf>
    <xf numFmtId="164" fontId="0" fillId="4" borderId="63" xfId="20" applyFont="1" applyFill="1" applyBorder="1" applyAlignment="1">
      <alignment horizontal="center"/>
    </xf>
    <xf numFmtId="164" fontId="0" fillId="4" borderId="64" xfId="2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35" xfId="0" applyFont="1" applyFill="1" applyBorder="1" applyAlignment="1">
      <alignment horizontal="left"/>
    </xf>
    <xf numFmtId="0" fontId="3" fillId="2" borderId="65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56" fillId="2" borderId="0" xfId="0" applyFont="1" applyFill="1" applyAlignment="1">
      <alignment horizontal="center"/>
    </xf>
    <xf numFmtId="0" fontId="3" fillId="4" borderId="11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Hipervínculo" xfId="21"/>
    <cellStyle name="Porcentual" xfId="22"/>
    <cellStyle name="Millares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57150</xdr:rowOff>
    </xdr:to>
    <xdr:pic>
      <xdr:nvPicPr>
        <xdr:cNvPr id="3" name="3 Imagen" descr="DSC0044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87225" cy="5238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46</xdr:row>
      <xdr:rowOff>161925</xdr:rowOff>
    </xdr:from>
    <xdr:to>
      <xdr:col>3</xdr:col>
      <xdr:colOff>1085850</xdr:colOff>
      <xdr:row>46</xdr:row>
      <xdr:rowOff>161925</xdr:rowOff>
    </xdr:to>
    <xdr:cxnSp macro="">
      <xdr:nvCxnSpPr>
        <xdr:cNvPr id="3" name="2 Conector recto"/>
        <xdr:cNvCxnSpPr/>
      </xdr:nvCxnSpPr>
      <xdr:spPr>
        <a:xfrm>
          <a:off x="1076325" y="9944100"/>
          <a:ext cx="16764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46</xdr:row>
      <xdr:rowOff>161925</xdr:rowOff>
    </xdr:from>
    <xdr:to>
      <xdr:col>6</xdr:col>
      <xdr:colOff>457200</xdr:colOff>
      <xdr:row>46</xdr:row>
      <xdr:rowOff>161925</xdr:rowOff>
    </xdr:to>
    <xdr:cxnSp macro="">
      <xdr:nvCxnSpPr>
        <xdr:cNvPr id="6" name="5 Conector recto"/>
        <xdr:cNvCxnSpPr/>
      </xdr:nvCxnSpPr>
      <xdr:spPr>
        <a:xfrm>
          <a:off x="4105275" y="9944100"/>
          <a:ext cx="15621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ULO%20DE%20INVENTARI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ARIOS"/>
      <sheetName val="MATERIA PRIMA Y MATERIALES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  <sheetName val="M26"/>
      <sheetName val="M27"/>
      <sheetName val="M28"/>
      <sheetName val="M29"/>
      <sheetName val="M30"/>
      <sheetName val="M31"/>
      <sheetName val="M32"/>
      <sheetName val="M33"/>
      <sheetName val="M34"/>
      <sheetName val="M35"/>
      <sheetName val="M36"/>
      <sheetName val="M37"/>
      <sheetName val="M38"/>
      <sheetName val="M39"/>
      <sheetName val="M40"/>
      <sheetName val="M41"/>
      <sheetName val="M42"/>
      <sheetName val="M43"/>
      <sheetName val="M44"/>
      <sheetName val="M45"/>
      <sheetName val="M46"/>
      <sheetName val="M47"/>
      <sheetName val="M48"/>
      <sheetName val="M49"/>
      <sheetName val="M50"/>
      <sheetName val="M51"/>
      <sheetName val="M52"/>
      <sheetName val="M53"/>
      <sheetName val="S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INFORME DE INVENTARIOS"/>
      <sheetName val="REPORTES"/>
    </sheetNames>
    <sheetDataSet>
      <sheetData sheetId="0"/>
      <sheetData sheetId="1"/>
      <sheetData sheetId="2"/>
      <sheetData sheetId="3">
        <row r="10">
          <cell r="K10">
            <v>2.5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A1"/>
  <sheetViews>
    <sheetView tabSelected="1" workbookViewId="0" topLeftCell="A1"/>
  </sheetViews>
  <sheetFormatPr defaultColWidth="11.421875" defaultRowHeight="15"/>
  <cols>
    <col min="1" max="1" width="176.8515625" style="19" customWidth="1"/>
    <col min="2" max="16384" width="11.421875" style="19" customWidth="1"/>
  </cols>
  <sheetData>
    <row r="1" ht="408" customHeight="1"/>
    <row r="2" ht="15"/>
  </sheetData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tabColor theme="0"/>
  </sheetPr>
  <dimension ref="A1:CR160"/>
  <sheetViews>
    <sheetView workbookViewId="0" topLeftCell="A1">
      <pane ySplit="3" topLeftCell="A4" activePane="bottomLeft" state="frozen"/>
      <selection pane="topLeft" activeCell="F152" sqref="F152"/>
      <selection pane="bottomLeft" activeCell="B1" sqref="B1:G2"/>
    </sheetView>
  </sheetViews>
  <sheetFormatPr defaultColWidth="11.421875" defaultRowHeight="15"/>
  <cols>
    <col min="1" max="1" width="2.421875" style="259" customWidth="1"/>
    <col min="2" max="3" width="25.8515625" style="269" customWidth="1"/>
    <col min="4" max="4" width="31.00390625" style="269" customWidth="1"/>
    <col min="5" max="6" width="25.8515625" style="269" customWidth="1"/>
    <col min="7" max="7" width="30.8515625" style="269" customWidth="1"/>
    <col min="8" max="8" width="29.00390625" style="259" customWidth="1"/>
    <col min="9" max="10" width="29.00390625" style="175" customWidth="1"/>
    <col min="11" max="11" width="11.421875" style="175" customWidth="1"/>
    <col min="12" max="12" width="29.00390625" style="261" customWidth="1"/>
    <col min="13" max="13" width="19.8515625" style="261" customWidth="1"/>
    <col min="14" max="14" width="10.421875" style="261" customWidth="1"/>
    <col min="15" max="15" width="23.8515625" style="263" customWidth="1"/>
    <col min="16" max="16" width="17.421875" style="263" customWidth="1"/>
    <col min="17" max="17" width="12.140625" style="263" customWidth="1"/>
    <col min="18" max="18" width="23.8515625" style="265" customWidth="1"/>
    <col min="19" max="19" width="17.8515625" style="265" customWidth="1"/>
    <col min="20" max="20" width="9.28125" style="265" customWidth="1"/>
    <col min="21" max="22" width="23.8515625" style="267" customWidth="1"/>
    <col min="23" max="23" width="10.140625" style="267" customWidth="1"/>
    <col min="24" max="25" width="23.8515625" style="269" customWidth="1"/>
    <col min="26" max="78" width="11.421875" style="269" customWidth="1"/>
    <col min="79" max="79" width="22.8515625" style="269" customWidth="1"/>
    <col min="80" max="81" width="11.421875" style="269" customWidth="1"/>
    <col min="82" max="82" width="22.8515625" style="269" customWidth="1"/>
    <col min="83" max="84" width="11.421875" style="269" customWidth="1"/>
    <col min="85" max="85" width="22.8515625" style="269" customWidth="1"/>
    <col min="86" max="87" width="11.421875" style="269" customWidth="1"/>
    <col min="88" max="88" width="22.8515625" style="269" customWidth="1"/>
    <col min="89" max="90" width="11.421875" style="269" customWidth="1"/>
    <col min="91" max="91" width="22.8515625" style="269" customWidth="1"/>
    <col min="92" max="93" width="11.421875" style="269" customWidth="1"/>
    <col min="94" max="94" width="33.28125" style="175" customWidth="1"/>
    <col min="95" max="96" width="13.28125" style="175" customWidth="1"/>
    <col min="97" max="16384" width="11.421875" style="269" customWidth="1"/>
  </cols>
  <sheetData>
    <row r="1" spans="1:96" s="256" customFormat="1" ht="15">
      <c r="A1" s="248"/>
      <c r="B1" s="542" t="s">
        <v>89</v>
      </c>
      <c r="C1" s="542"/>
      <c r="D1" s="542"/>
      <c r="E1" s="542"/>
      <c r="F1" s="542"/>
      <c r="G1" s="542"/>
      <c r="H1" s="248"/>
      <c r="I1" s="249" t="s">
        <v>53</v>
      </c>
      <c r="J1" s="249" t="s">
        <v>52</v>
      </c>
      <c r="K1" s="249">
        <v>15</v>
      </c>
      <c r="L1" s="250" t="s">
        <v>54</v>
      </c>
      <c r="M1" s="250" t="s">
        <v>68</v>
      </c>
      <c r="N1" s="250">
        <v>8</v>
      </c>
      <c r="O1" s="251" t="s">
        <v>55</v>
      </c>
      <c r="P1" s="251" t="s">
        <v>69</v>
      </c>
      <c r="Q1" s="251">
        <v>9</v>
      </c>
      <c r="R1" s="252" t="s">
        <v>10</v>
      </c>
      <c r="S1" s="252" t="s">
        <v>70</v>
      </c>
      <c r="T1" s="253">
        <v>1</v>
      </c>
      <c r="U1" s="254" t="s">
        <v>56</v>
      </c>
      <c r="V1" s="255" t="s">
        <v>71</v>
      </c>
      <c r="W1" s="255">
        <v>14</v>
      </c>
      <c r="CA1" s="249" t="s">
        <v>53</v>
      </c>
      <c r="CB1" s="249" t="s">
        <v>160</v>
      </c>
      <c r="CC1" s="249"/>
      <c r="CD1" s="250" t="s">
        <v>54</v>
      </c>
      <c r="CE1" s="250" t="s">
        <v>161</v>
      </c>
      <c r="CF1" s="250"/>
      <c r="CG1" s="251" t="s">
        <v>55</v>
      </c>
      <c r="CH1" s="251" t="s">
        <v>162</v>
      </c>
      <c r="CI1" s="251"/>
      <c r="CJ1" s="252" t="s">
        <v>10</v>
      </c>
      <c r="CK1" s="252" t="s">
        <v>163</v>
      </c>
      <c r="CL1" s="253"/>
      <c r="CM1" s="254" t="s">
        <v>56</v>
      </c>
      <c r="CN1" s="255" t="s">
        <v>164</v>
      </c>
      <c r="CO1" s="257"/>
      <c r="CP1" s="258" t="s">
        <v>12</v>
      </c>
      <c r="CQ1" s="175" t="s">
        <v>165</v>
      </c>
      <c r="CR1" s="175"/>
    </row>
    <row r="2" spans="2:95" ht="15">
      <c r="B2" s="542"/>
      <c r="C2" s="542"/>
      <c r="D2" s="542"/>
      <c r="E2" s="542"/>
      <c r="F2" s="542"/>
      <c r="G2" s="542"/>
      <c r="I2" s="175" t="str">
        <f>B8</f>
        <v>Aguacate relleno camaron</v>
      </c>
      <c r="J2" s="260">
        <f>'COSTO-ENTRADAS'!G31*DATOS!I3</f>
        <v>1.7121609493994712</v>
      </c>
      <c r="K2" s="175">
        <v>14</v>
      </c>
      <c r="L2" s="261" t="str">
        <f>C8</f>
        <v>Crema de acelga</v>
      </c>
      <c r="M2" s="262">
        <f>'COSTO-SOPAS'!G31*DATOS!I3</f>
        <v>0.8173785345254629</v>
      </c>
      <c r="N2" s="261">
        <v>14</v>
      </c>
      <c r="O2" s="263" t="str">
        <f>D8</f>
        <v>Filete migñon</v>
      </c>
      <c r="P2" s="264">
        <f>'COSTO-FUERTES'!G48*DATOS!I3</f>
        <v>4.669663007242725</v>
      </c>
      <c r="Q2" s="263">
        <v>14</v>
      </c>
      <c r="R2" s="265" t="str">
        <f>E8</f>
        <v>Chicha de Arroz</v>
      </c>
      <c r="S2" s="266">
        <f>'COSTO-BEBIDAS'!G29*DATOS!I3</f>
        <v>0.42264524078042326</v>
      </c>
      <c r="T2" s="265">
        <v>14</v>
      </c>
      <c r="U2" s="267" t="str">
        <f>F8</f>
        <v>Duraznos con crema</v>
      </c>
      <c r="V2" s="268">
        <f>'COSTO-POSTRE'!G23*DATOS!I3</f>
        <v>0.637823415056217</v>
      </c>
      <c r="W2" s="267">
        <v>14</v>
      </c>
      <c r="CA2" s="175" t="str">
        <f>B8</f>
        <v>Aguacate relleno camaron</v>
      </c>
      <c r="CB2" s="270">
        <f>'COSTO-ENTRADAS'!G7</f>
        <v>0.8669528200000003</v>
      </c>
      <c r="CC2" s="175"/>
      <c r="CD2" s="261" t="str">
        <f>C8</f>
        <v>Crema de acelga</v>
      </c>
      <c r="CE2" s="262">
        <f>'COSTO-SOPAS'!G7</f>
        <v>0.10787773333333336</v>
      </c>
      <c r="CF2" s="261"/>
      <c r="CG2" s="263" t="str">
        <f>D8</f>
        <v>Filete migñon</v>
      </c>
      <c r="CH2" s="264">
        <f>'COSTO-FUERTES'!G25</f>
        <v>2.891498835</v>
      </c>
      <c r="CI2" s="263"/>
      <c r="CJ2" s="265" t="str">
        <f>E8</f>
        <v>Chicha de Arroz</v>
      </c>
      <c r="CK2" s="266">
        <f>'COSTO-BEBIDAS'!G7</f>
        <v>0.1363626</v>
      </c>
      <c r="CL2" s="265"/>
      <c r="CM2" s="267" t="str">
        <f>F8</f>
        <v>Duraznos con crema</v>
      </c>
      <c r="CN2" s="268">
        <f>'COSTO-POSTRE'!G7</f>
        <v>0.2909949</v>
      </c>
      <c r="CO2" s="271"/>
      <c r="CP2" s="175" t="str">
        <f>G8</f>
        <v>Canguil</v>
      </c>
      <c r="CQ2" s="270">
        <f>'COSTO-ACOMPAÑAMIENTO'!G7</f>
        <v>0.3016112</v>
      </c>
    </row>
    <row r="3" spans="2:95" ht="15">
      <c r="B3" s="259"/>
      <c r="C3" s="259"/>
      <c r="D3" s="259"/>
      <c r="E3" s="259"/>
      <c r="F3" s="259"/>
      <c r="G3" s="259"/>
      <c r="I3" s="175" t="str">
        <f aca="true" t="shared" si="0" ref="I3:I14">B9</f>
        <v>Canelones de camarones</v>
      </c>
      <c r="J3" s="270">
        <f>'COSTO-ENTRADAS'!G58*DATOS!I3</f>
        <v>1.4411816260661379</v>
      </c>
      <c r="K3" s="175">
        <v>14</v>
      </c>
      <c r="L3" s="261" t="str">
        <f aca="true" t="shared" si="1" ref="L3:L14">C9</f>
        <v>Crema de champiñones</v>
      </c>
      <c r="M3" s="262">
        <f>'COSTO-SOPAS'!G60*DATOS!I3</f>
        <v>0.8748073345254629</v>
      </c>
      <c r="N3" s="261">
        <v>14</v>
      </c>
      <c r="O3" s="263" t="str">
        <f aca="true" t="shared" si="2" ref="O3:O14">D9</f>
        <v>Gordon blue</v>
      </c>
      <c r="P3" s="264">
        <f>'COSTO-FUERTES'!G79*DATOS!I3</f>
        <v>3.4582417919093924</v>
      </c>
      <c r="Q3" s="263">
        <v>14</v>
      </c>
      <c r="R3" s="265" t="str">
        <f aca="true" t="shared" si="3" ref="R3:R14">E9</f>
        <v>Colas</v>
      </c>
      <c r="S3" s="266">
        <f>'COSTO-BEBIDAS'!G48*DATOS!I3</f>
        <v>0.35587901744709</v>
      </c>
      <c r="T3" s="265">
        <v>14</v>
      </c>
      <c r="U3" s="267" t="str">
        <f aca="true" t="shared" si="4" ref="U3:U14">F9</f>
        <v>Duraznos en almibar</v>
      </c>
      <c r="V3" s="268">
        <f>'COSTO-POSTRE'!G42*DATOS!I3</f>
        <v>0.571530045056217</v>
      </c>
      <c r="W3" s="267">
        <v>15</v>
      </c>
      <c r="CA3" s="175" t="str">
        <f aca="true" t="shared" si="5" ref="CA3:CA14">B9</f>
        <v>Canelones de camarones</v>
      </c>
      <c r="CB3" s="270">
        <f>'COSTO-ENTRADAS'!G36</f>
        <v>0.6585071866666667</v>
      </c>
      <c r="CC3" s="175"/>
      <c r="CD3" s="261" t="str">
        <f aca="true" t="shared" si="6" ref="CD3:CD14">C9</f>
        <v>Crema de champiñones</v>
      </c>
      <c r="CE3" s="262">
        <f>'COSTO-SOPAS'!G36</f>
        <v>0.15205373333333333</v>
      </c>
      <c r="CF3" s="261"/>
      <c r="CG3" s="263" t="str">
        <f aca="true" t="shared" si="7" ref="CG3:CG14">D9</f>
        <v>Gordon blue</v>
      </c>
      <c r="CH3" s="264">
        <f>'COSTO-FUERTES'!G53</f>
        <v>1.959636361666667</v>
      </c>
      <c r="CI3" s="263"/>
      <c r="CJ3" s="265" t="str">
        <f aca="true" t="shared" si="8" ref="CJ3:CJ14">E9</f>
        <v>Colas</v>
      </c>
      <c r="CK3" s="266">
        <f>'COSTO-BEBIDAS'!G34</f>
        <v>0.08500396666666668</v>
      </c>
      <c r="CL3" s="265"/>
      <c r="CM3" s="267" t="str">
        <f aca="true" t="shared" si="9" ref="CM3:CM14">F9</f>
        <v>Duraznos en almibar</v>
      </c>
      <c r="CN3" s="268">
        <f>'COSTO-POSTRE'!G28</f>
        <v>0.24</v>
      </c>
      <c r="CO3" s="271"/>
      <c r="CP3" s="175" t="str">
        <f aca="true" t="shared" si="10" ref="CP3:CP14">G9</f>
        <v>Canguil con Chifles</v>
      </c>
      <c r="CQ3" s="270">
        <f>'COSTO-ACOMPAÑAMIENTO'!G28</f>
        <v>0.32160920000000004</v>
      </c>
    </row>
    <row r="4" spans="2:95" ht="15">
      <c r="B4" s="259"/>
      <c r="C4" s="259"/>
      <c r="D4" s="259"/>
      <c r="E4" s="259"/>
      <c r="F4" s="259"/>
      <c r="G4" s="259"/>
      <c r="I4" s="175" t="str">
        <f t="shared" si="0"/>
        <v>Canelones de carne</v>
      </c>
      <c r="J4" s="270">
        <f>'COSTO-ENTRADAS'!G87*DATOS!I3</f>
        <v>1.6877420613994711</v>
      </c>
      <c r="K4" s="175">
        <v>15</v>
      </c>
      <c r="L4" s="261" t="str">
        <f t="shared" si="1"/>
        <v>Crema de esparragos</v>
      </c>
      <c r="M4" s="262">
        <f>'COSTO-SOPAS'!G90*DATOS!I3</f>
        <v>0.7138093545254629</v>
      </c>
      <c r="N4" s="261">
        <v>14</v>
      </c>
      <c r="O4" s="263" t="str">
        <f t="shared" si="2"/>
        <v>Lomo a la plancha y pollo en 
salsa de champiñones</v>
      </c>
      <c r="P4" s="264">
        <f>'COSTO-FUERTES'!G116*DATOS!I3</f>
        <v>3.331276165242726</v>
      </c>
      <c r="Q4" s="263">
        <v>14</v>
      </c>
      <c r="R4" s="265" t="str">
        <f t="shared" si="3"/>
        <v>Colas y Minerales</v>
      </c>
      <c r="S4" s="266">
        <f>'COSTO-BEBIDAS'!G69*DATOS!I3</f>
        <v>0.45338356744709</v>
      </c>
      <c r="T4" s="265">
        <v>14</v>
      </c>
      <c r="U4" s="267" t="str">
        <f t="shared" si="4"/>
        <v>Ensalada de frutas</v>
      </c>
      <c r="V4" s="268">
        <f>'COSTO-POSTRE'!G74*DATOS!I3</f>
        <v>0.5078234150562169</v>
      </c>
      <c r="W4" s="267">
        <v>14</v>
      </c>
      <c r="CA4" s="175" t="str">
        <f t="shared" si="5"/>
        <v>Canelones de carne</v>
      </c>
      <c r="CB4" s="270">
        <f>'COSTO-ENTRADAS'!G64</f>
        <v>0.8481690600000001</v>
      </c>
      <c r="CC4" s="175"/>
      <c r="CD4" s="261" t="str">
        <f t="shared" si="6"/>
        <v>Crema de esparragos</v>
      </c>
      <c r="CE4" s="262">
        <f>'COSTO-SOPAS'!G66</f>
        <v>0.028209133333333337</v>
      </c>
      <c r="CF4" s="261"/>
      <c r="CG4" s="263" t="str">
        <f t="shared" si="7"/>
        <v>Lomo a la plancha y pollo en 
salsa de champiñones</v>
      </c>
      <c r="CH4" s="264">
        <f>'COSTO-FUERTES'!G85</f>
        <v>1.8619704950000004</v>
      </c>
      <c r="CI4" s="263"/>
      <c r="CJ4" s="265" t="str">
        <f t="shared" si="8"/>
        <v>Colas y Minerales</v>
      </c>
      <c r="CK4" s="266">
        <f>'COSTO-BEBIDAS'!G54</f>
        <v>0.16000746666666668</v>
      </c>
      <c r="CL4" s="265"/>
      <c r="CM4" s="267" t="str">
        <f t="shared" si="9"/>
        <v>Ensalada de frutas</v>
      </c>
      <c r="CN4" s="268">
        <f>'COSTO-POSTRE'!G48</f>
        <v>0.19099489999999997</v>
      </c>
      <c r="CO4" s="271"/>
      <c r="CP4" s="175" t="str">
        <f t="shared" si="10"/>
        <v>Rodajas de pan con 
mantequilla</v>
      </c>
      <c r="CQ4" s="270">
        <f>'COSTO-ACOMPAÑAMIENTO'!G51</f>
        <v>0.0721</v>
      </c>
    </row>
    <row r="5" spans="2:95" ht="15">
      <c r="B5" s="259"/>
      <c r="C5" s="259"/>
      <c r="D5" s="259"/>
      <c r="E5" s="259"/>
      <c r="F5" s="259"/>
      <c r="G5" s="259"/>
      <c r="I5" s="175" t="str">
        <f t="shared" si="0"/>
        <v>Canelones de pollo</v>
      </c>
      <c r="J5" s="270">
        <f>'COSTO-ENTRADAS'!G115*DATOS!I3</f>
        <v>0.9322446260661377</v>
      </c>
      <c r="K5" s="175">
        <v>14</v>
      </c>
      <c r="L5" s="261" t="str">
        <f t="shared" si="1"/>
        <v>Crema de pollo</v>
      </c>
      <c r="M5" s="262">
        <f>'COSTO-SOPAS'!G119*DATOS!I3</f>
        <v>0.7291189345254628</v>
      </c>
      <c r="N5" s="261">
        <v>15</v>
      </c>
      <c r="O5" s="263" t="str">
        <f t="shared" si="2"/>
        <v>Lomo apanado y pollo en 
salsa de champiñones</v>
      </c>
      <c r="P5" s="264">
        <f>'COSTO-FUERTES'!G155*DATOS!I3</f>
        <v>3.590768250909392</v>
      </c>
      <c r="Q5" s="263">
        <v>15</v>
      </c>
      <c r="R5" s="265" t="str">
        <f t="shared" si="3"/>
        <v>Jugo de Guayaba</v>
      </c>
      <c r="S5" s="266">
        <f>'COSTO-BEBIDAS'!G89*DATOS!I3</f>
        <v>0.48587412078042336</v>
      </c>
      <c r="T5" s="265">
        <v>14</v>
      </c>
      <c r="U5" s="267" t="str">
        <f t="shared" si="4"/>
        <v>Frutillas con crema</v>
      </c>
      <c r="V5" s="268">
        <f>'COSTO-POSTRE'!G95*DATOS!I3</f>
        <v>0.7158416150562169</v>
      </c>
      <c r="W5" s="267">
        <v>14</v>
      </c>
      <c r="CA5" s="175" t="str">
        <f t="shared" si="5"/>
        <v>Canelones de pollo</v>
      </c>
      <c r="CB5" s="270">
        <f>'COSTO-ENTRADAS'!G92</f>
        <v>0.2670171866666667</v>
      </c>
      <c r="CC5" s="175"/>
      <c r="CD5" s="261" t="str">
        <f t="shared" si="6"/>
        <v>Crema de pollo</v>
      </c>
      <c r="CE5" s="262">
        <f>'COSTO-SOPAS'!G95</f>
        <v>0.03998573333333333</v>
      </c>
      <c r="CF5" s="261"/>
      <c r="CG5" s="263" t="str">
        <f t="shared" si="7"/>
        <v>Lomo apanado y pollo en 
salsa de champiñones</v>
      </c>
      <c r="CH5" s="264">
        <f>'COSTO-FUERTES'!G121</f>
        <v>2.061579791666667</v>
      </c>
      <c r="CI5" s="263"/>
      <c r="CJ5" s="265" t="str">
        <f t="shared" si="8"/>
        <v>Jugo de Guayaba</v>
      </c>
      <c r="CK5" s="266">
        <f>'COSTO-BEBIDAS'!G74</f>
        <v>0.18500020000000003</v>
      </c>
      <c r="CL5" s="265"/>
      <c r="CM5" s="267" t="str">
        <f t="shared" si="9"/>
        <v>Frutillas con crema</v>
      </c>
      <c r="CN5" s="268">
        <f>'COSTO-POSTRE'!G79</f>
        <v>0.3510089</v>
      </c>
      <c r="CO5" s="271"/>
      <c r="CP5" s="175" t="str">
        <f t="shared" si="10"/>
        <v>COSTO-ACOMPAÑAMIENTO'!C69</v>
      </c>
      <c r="CQ5" s="270">
        <f>'COSTO-ACOMPAÑAMIENTO'!G71</f>
        <v>0</v>
      </c>
    </row>
    <row r="6" spans="2:95" ht="15">
      <c r="B6" s="259"/>
      <c r="C6" s="259"/>
      <c r="D6" s="259"/>
      <c r="E6" s="259"/>
      <c r="F6" s="259"/>
      <c r="G6" s="259"/>
      <c r="I6" s="175" t="str">
        <f t="shared" si="0"/>
        <v>Ceviche de camarones</v>
      </c>
      <c r="J6" s="270">
        <f>'COSTO-ENTRADAS'!G145*DATOS!I3</f>
        <v>1.8272980752897663</v>
      </c>
      <c r="L6" s="261" t="str">
        <f t="shared" si="1"/>
        <v>Locro de cuero</v>
      </c>
      <c r="M6" s="262">
        <f>'COSTO-SOPAS'!G147*DATOS!I3</f>
        <v>1.114469614525463</v>
      </c>
      <c r="O6" s="263" t="str">
        <f t="shared" si="2"/>
        <v>Lomo con champiñones y 
pollo apanado</v>
      </c>
      <c r="P6" s="264">
        <f>'COSTO-FUERTES'!G195*DATOS!I3</f>
        <v>3.5855630509093928</v>
      </c>
      <c r="R6" s="265" t="str">
        <f t="shared" si="3"/>
        <v>Jugo de Mora</v>
      </c>
      <c r="S6" s="266">
        <f>'COSTO-BEBIDAS'!G110*DATOS!I3</f>
        <v>0.48587412078042336</v>
      </c>
      <c r="U6" s="267" t="str">
        <f t="shared" si="4"/>
        <v>Frutillas en almibar</v>
      </c>
      <c r="V6" s="268">
        <f>'COSTO-POSTRE'!G118*DATOS!I3</f>
        <v>0.677560515056217</v>
      </c>
      <c r="CA6" s="175" t="str">
        <f t="shared" si="5"/>
        <v>Ceviche de camarones</v>
      </c>
      <c r="CB6" s="270">
        <f>'COSTO-ENTRADAS'!G121</f>
        <v>0.955519839915612</v>
      </c>
      <c r="CC6" s="175"/>
      <c r="CD6" s="261" t="str">
        <f t="shared" si="6"/>
        <v>Locro de cuero</v>
      </c>
      <c r="CE6" s="262">
        <f>'COSTO-SOPAS'!G125</f>
        <v>0.33640933333333334</v>
      </c>
      <c r="CF6" s="261"/>
      <c r="CG6" s="263" t="str">
        <f t="shared" si="7"/>
        <v>Lomo con champiñones y 
pollo apanado</v>
      </c>
      <c r="CH6" s="264">
        <f>'COSTO-FUERTES'!G161</f>
        <v>2.0575757916666673</v>
      </c>
      <c r="CI6" s="263"/>
      <c r="CJ6" s="265" t="str">
        <f t="shared" si="8"/>
        <v>Jugo de Mora</v>
      </c>
      <c r="CK6" s="266">
        <f>'COSTO-BEBIDAS'!G95</f>
        <v>0.18500020000000003</v>
      </c>
      <c r="CL6" s="265"/>
      <c r="CM6" s="267" t="str">
        <f t="shared" si="9"/>
        <v>Frutillas en almibar</v>
      </c>
      <c r="CN6" s="268">
        <f>'COSTO-POSTRE'!G101</f>
        <v>0.3215619</v>
      </c>
      <c r="CO6" s="271"/>
      <c r="CP6" s="175" t="str">
        <f t="shared" si="10"/>
        <v>COSTO-ACOMPAÑAMIENTO'!C91</v>
      </c>
      <c r="CQ6" s="270">
        <f>'COSTO-ACOMPAÑAMIENTO'!G96</f>
        <v>0</v>
      </c>
    </row>
    <row r="7" spans="2:96" ht="20.25">
      <c r="B7" s="272" t="s">
        <v>7</v>
      </c>
      <c r="C7" s="273" t="s">
        <v>8</v>
      </c>
      <c r="D7" s="274" t="s">
        <v>9</v>
      </c>
      <c r="E7" s="275" t="s">
        <v>76</v>
      </c>
      <c r="F7" s="276" t="s">
        <v>11</v>
      </c>
      <c r="G7" s="277" t="s">
        <v>12</v>
      </c>
      <c r="I7" s="175" t="str">
        <f t="shared" si="0"/>
        <v>Ceviche de concha</v>
      </c>
      <c r="J7" s="270">
        <f>'COSTO-ENTRADAS'!G174*DATOS!I3</f>
        <v>2.2497616752897667</v>
      </c>
      <c r="K7" s="175">
        <v>1</v>
      </c>
      <c r="L7" s="261" t="str">
        <f t="shared" si="1"/>
        <v>Locro de queso</v>
      </c>
      <c r="M7" s="262">
        <f>'COSTO-SOPAS'!G174*DATOS!I3</f>
        <v>1.1837748678587965</v>
      </c>
      <c r="N7" s="261">
        <v>1</v>
      </c>
      <c r="O7" s="263" t="str">
        <f t="shared" si="2"/>
        <v>Lomo napolitano y pollo en 
salsa de champiñones</v>
      </c>
      <c r="P7" s="264">
        <f>'COSTO-FUERTES'!G237*DATOS!I3</f>
        <v>3.0675728639093918</v>
      </c>
      <c r="Q7" s="263">
        <v>1</v>
      </c>
      <c r="R7" s="265" t="str">
        <f t="shared" si="3"/>
        <v>Jugo de papaya</v>
      </c>
      <c r="S7" s="266">
        <f>'COSTO-BEBIDAS'!G130*DATOS!I3</f>
        <v>0.42089492078042334</v>
      </c>
      <c r="T7" s="265">
        <v>1</v>
      </c>
      <c r="U7" s="267" t="str">
        <f t="shared" si="4"/>
        <v>Gelatina</v>
      </c>
      <c r="V7" s="268">
        <f>'COSTO-POSTRE'!G143*DATOS!I3</f>
        <v>71.26681951505621</v>
      </c>
      <c r="W7" s="267">
        <v>1</v>
      </c>
      <c r="CA7" s="175" t="str">
        <f t="shared" si="5"/>
        <v>Ceviche de concha</v>
      </c>
      <c r="CB7" s="270">
        <f>'COSTO-ENTRADAS'!G150</f>
        <v>1.2804918399156122</v>
      </c>
      <c r="CC7" s="175">
        <v>15</v>
      </c>
      <c r="CD7" s="261" t="str">
        <f t="shared" si="6"/>
        <v>Locro de queso</v>
      </c>
      <c r="CE7" s="262">
        <f>'COSTO-SOPAS'!G152</f>
        <v>0.38972106666666667</v>
      </c>
      <c r="CF7" s="261">
        <v>8</v>
      </c>
      <c r="CG7" s="263" t="str">
        <f t="shared" si="7"/>
        <v>Lomo napolitano y pollo en 
salsa de champiñones</v>
      </c>
      <c r="CH7" s="264">
        <f>'COSTO-FUERTES'!G200</f>
        <v>1.6591218016666667</v>
      </c>
      <c r="CI7" s="263">
        <v>9</v>
      </c>
      <c r="CJ7" s="265" t="str">
        <f t="shared" si="8"/>
        <v>Jugo de papaya</v>
      </c>
      <c r="CK7" s="266">
        <f>'COSTO-BEBIDAS'!G115</f>
        <v>0.1350162</v>
      </c>
      <c r="CL7" s="265">
        <v>3</v>
      </c>
      <c r="CM7" s="267" t="str">
        <f t="shared" si="9"/>
        <v>Gelatina</v>
      </c>
      <c r="CN7" s="268">
        <f>'COSTO-POSTRE'!G123</f>
        <v>54.6209919</v>
      </c>
      <c r="CO7" s="271">
        <v>15</v>
      </c>
      <c r="CP7" s="175" t="str">
        <f t="shared" si="10"/>
        <v>COSTO-ACOMPAÑAMIENTO'!C112</v>
      </c>
      <c r="CQ7" s="270">
        <f>'COSTO-ACOMPAÑAMIENTO'!G120</f>
        <v>0</v>
      </c>
      <c r="CR7" s="175">
        <v>1</v>
      </c>
    </row>
    <row r="8" spans="2:95" ht="15">
      <c r="B8" s="278" t="s">
        <v>256</v>
      </c>
      <c r="C8" s="279" t="s">
        <v>48</v>
      </c>
      <c r="D8" s="280" t="s">
        <v>45</v>
      </c>
      <c r="E8" s="281" t="s">
        <v>60</v>
      </c>
      <c r="F8" s="282" t="s">
        <v>453</v>
      </c>
      <c r="G8" s="283" t="s">
        <v>66</v>
      </c>
      <c r="I8" s="175" t="str">
        <f t="shared" si="0"/>
        <v>Ceviche de pollo</v>
      </c>
      <c r="J8" s="270">
        <f>'COSTO-ENTRADAS'!G204*DATOS!I3</f>
        <v>0.9497642752897664</v>
      </c>
      <c r="L8" s="261" t="str">
        <f t="shared" si="1"/>
        <v>Sopa de albóndigas</v>
      </c>
      <c r="M8" s="262">
        <f>'COSTO-SOPAS'!G213*DATOS!I3</f>
        <v>1.1983186611921297</v>
      </c>
      <c r="O8" s="263" t="str">
        <f t="shared" si="2"/>
        <v>Lengua en salsa de champiñones 
y pollo apanado</v>
      </c>
      <c r="P8" s="264">
        <f>'COSTO-FUERTES'!G277*DATOS!I3</f>
        <v>3.282234917576059</v>
      </c>
      <c r="R8" s="265" t="str">
        <f t="shared" si="3"/>
        <v>Jugo de piña</v>
      </c>
      <c r="S8" s="266">
        <f>'COSTO-BEBIDAS'!G151*DATOS!I3</f>
        <v>0.42089492078042334</v>
      </c>
      <c r="U8" s="267" t="str">
        <f t="shared" si="4"/>
        <v>Helados con torta</v>
      </c>
      <c r="V8" s="268">
        <f>'COSTO-POSTRE'!G166*DATOS!I3</f>
        <v>0.7591723483895503</v>
      </c>
      <c r="CA8" s="175" t="str">
        <f t="shared" si="5"/>
        <v>Ceviche de pollo</v>
      </c>
      <c r="CB8" s="270">
        <f>'COSTO-ENTRADAS'!G180</f>
        <v>0.2804938399156119</v>
      </c>
      <c r="CC8" s="175"/>
      <c r="CD8" s="261" t="str">
        <f t="shared" si="6"/>
        <v>Sopa de albóndigas</v>
      </c>
      <c r="CE8" s="262">
        <f>'COSTO-SOPAS'!G180</f>
        <v>0.40090860000000006</v>
      </c>
      <c r="CF8" s="261"/>
      <c r="CG8" s="263" t="str">
        <f t="shared" si="7"/>
        <v>Lengua en salsa de champiñones 
y pollo apanado</v>
      </c>
      <c r="CH8" s="264">
        <f>'COSTO-FUERTES'!G243</f>
        <v>1.8242464583333335</v>
      </c>
      <c r="CI8" s="263"/>
      <c r="CJ8" s="265" t="str">
        <f t="shared" si="8"/>
        <v>Jugo de piña</v>
      </c>
      <c r="CK8" s="266">
        <f>'COSTO-BEBIDAS'!G136</f>
        <v>0.1350162</v>
      </c>
      <c r="CL8" s="265"/>
      <c r="CM8" s="267" t="str">
        <f t="shared" si="9"/>
        <v>Helados con torta</v>
      </c>
      <c r="CN8" s="268">
        <f>'COSTO-POSTRE'!G149</f>
        <v>0.38434023333333334</v>
      </c>
      <c r="CO8" s="271"/>
      <c r="CP8" s="175" t="str">
        <f t="shared" si="10"/>
        <v>COSTO-ACOMPAÑAMIENTO'!C134</v>
      </c>
      <c r="CQ8" s="270">
        <f>'COSTO-ACOMPAÑAMIENTO'!G145</f>
        <v>0</v>
      </c>
    </row>
    <row r="9" spans="2:95" ht="15">
      <c r="B9" s="278" t="s">
        <v>47</v>
      </c>
      <c r="C9" s="279" t="s">
        <v>35</v>
      </c>
      <c r="D9" s="280" t="s">
        <v>51</v>
      </c>
      <c r="E9" s="281" t="s">
        <v>58</v>
      </c>
      <c r="F9" s="282" t="s">
        <v>36</v>
      </c>
      <c r="G9" s="283" t="s">
        <v>67</v>
      </c>
      <c r="I9" s="175" t="str">
        <f t="shared" si="0"/>
        <v>Coctel de Camarones</v>
      </c>
      <c r="J9" s="270">
        <f>'COSTO-ENTRADAS'!G230*DATOS!I3</f>
        <v>1.646487000510582</v>
      </c>
      <c r="L9" s="261" t="str">
        <f t="shared" si="1"/>
        <v>Sopa de pollo</v>
      </c>
      <c r="M9" s="262">
        <f>'COSTO-SOPAS'!G247*DATOS!I3</f>
        <v>1.217922392525463</v>
      </c>
      <c r="O9" s="263" t="str">
        <f t="shared" si="2"/>
        <v>Pollo asado y lomo en salsa
de champiñones</v>
      </c>
      <c r="P9" s="264">
        <f>'COSTO-FUERTES'!G319*DATOS!I3</f>
        <v>3.3860219515760583</v>
      </c>
      <c r="R9" s="265" t="str">
        <f t="shared" si="3"/>
        <v>Jugo de Tomate</v>
      </c>
      <c r="S9" s="266">
        <f>'COSTO-BEBIDAS'!G171*DATOS!I3</f>
        <v>0.6158897207804233</v>
      </c>
      <c r="U9" s="267" t="str">
        <f t="shared" si="4"/>
        <v>COSTO-POSTRE'!C155</v>
      </c>
      <c r="V9" s="268">
        <f>'COSTO-POSTRE'!G190*DATOS!I3</f>
        <v>0.2595300450562169</v>
      </c>
      <c r="CA9" s="175" t="str">
        <f t="shared" si="5"/>
        <v>Coctel de Camarones</v>
      </c>
      <c r="CB9" s="270">
        <f>'COSTO-ENTRADAS'!G209</f>
        <v>0.8164343977777779</v>
      </c>
      <c r="CC9" s="175"/>
      <c r="CD9" s="261" t="str">
        <f t="shared" si="6"/>
        <v>Sopa de pollo</v>
      </c>
      <c r="CE9" s="262">
        <f>'COSTO-SOPAS'!G218</f>
        <v>0.41598839333333343</v>
      </c>
      <c r="CF9" s="261"/>
      <c r="CG9" s="263" t="str">
        <f t="shared" si="7"/>
        <v>Pollo asado y lomo en salsa
de champiñones</v>
      </c>
      <c r="CH9" s="264">
        <f>'COSTO-FUERTES'!G282</f>
        <v>1.9040826383333331</v>
      </c>
      <c r="CI9" s="263"/>
      <c r="CJ9" s="265" t="str">
        <f t="shared" si="8"/>
        <v>Jugo de Tomate</v>
      </c>
      <c r="CK9" s="266">
        <f>'COSTO-BEBIDAS'!G156</f>
        <v>0.2850122</v>
      </c>
      <c r="CL9" s="265"/>
      <c r="CM9" s="267" t="str">
        <f t="shared" si="9"/>
        <v>COSTO-POSTRE'!C155</v>
      </c>
      <c r="CN9" s="268">
        <f>'COSTO-POSTRE'!G171</f>
        <v>0</v>
      </c>
      <c r="CO9" s="271"/>
      <c r="CP9" s="175" t="str">
        <f t="shared" si="10"/>
        <v>COSTO-ACOMPAÑAMIENTO'!C155</v>
      </c>
      <c r="CQ9" s="270">
        <f>'COSTO-ACOMPAÑAMIENTO'!G169</f>
        <v>0</v>
      </c>
    </row>
    <row r="10" spans="2:95" ht="30">
      <c r="B10" s="278" t="s">
        <v>49</v>
      </c>
      <c r="C10" s="279" t="s">
        <v>38</v>
      </c>
      <c r="D10" s="284" t="s">
        <v>361</v>
      </c>
      <c r="E10" s="281" t="s">
        <v>57</v>
      </c>
      <c r="F10" s="282" t="s">
        <v>42</v>
      </c>
      <c r="G10" s="285" t="s">
        <v>88</v>
      </c>
      <c r="I10" s="175" t="str">
        <f t="shared" si="0"/>
        <v>Tomate relleno camaron</v>
      </c>
      <c r="J10" s="270">
        <f>'COSTO-ENTRADAS'!G260*DATOS!I3</f>
        <v>1.6146609493994715</v>
      </c>
      <c r="L10" s="261" t="str">
        <f t="shared" si="1"/>
        <v>Yahuarlocro</v>
      </c>
      <c r="M10" s="262">
        <f>'COSTO-SOPAS'!G283*DATOS!I3</f>
        <v>1.3301098575254633</v>
      </c>
      <c r="O10" s="263" t="str">
        <f>D16</f>
        <v>Pollo con champiñones y 
chuleta a la Plancha</v>
      </c>
      <c r="P10" s="264">
        <f>'COSTO-FUERTES'!G356*DATOS!I3</f>
        <v>2.416076165242725</v>
      </c>
      <c r="R10" s="265" t="str">
        <f t="shared" si="3"/>
        <v>Minerales</v>
      </c>
      <c r="S10" s="266">
        <f>'COSTO-BEBIDAS'!G191*DATOS!I3</f>
        <v>0.3428784107804233</v>
      </c>
      <c r="U10" s="267" t="str">
        <f t="shared" si="4"/>
        <v>COSTO-POSTRE'!C177</v>
      </c>
      <c r="V10" s="268">
        <f>'COSTO-POSTRE'!G215*DATOS!I3</f>
        <v>0.2595300450562169</v>
      </c>
      <c r="CA10" s="175" t="str">
        <f t="shared" si="5"/>
        <v>Tomate relleno camaron</v>
      </c>
      <c r="CB10" s="270">
        <f>'COSTO-ENTRADAS'!G236</f>
        <v>0.7919528200000003</v>
      </c>
      <c r="CC10" s="175"/>
      <c r="CD10" s="261" t="str">
        <f t="shared" si="6"/>
        <v>Yahuarlocro</v>
      </c>
      <c r="CE10" s="262">
        <f>'COSTO-SOPAS'!G253</f>
        <v>0.5022864433333335</v>
      </c>
      <c r="CF10" s="261"/>
      <c r="CG10" s="263" t="str">
        <f t="shared" si="7"/>
        <v>Pollo con champiñones y 
chuleta a la Plancha</v>
      </c>
      <c r="CH10" s="264">
        <f>'COSTO-FUERTES'!G325</f>
        <v>1.1579704950000005</v>
      </c>
      <c r="CI10" s="263"/>
      <c r="CJ10" s="265" t="str">
        <f t="shared" si="8"/>
        <v>Minerales</v>
      </c>
      <c r="CK10" s="266">
        <f>'COSTO-BEBIDAS'!G177</f>
        <v>0.0750035</v>
      </c>
      <c r="CL10" s="265"/>
      <c r="CM10" s="267" t="str">
        <f t="shared" si="9"/>
        <v>COSTO-POSTRE'!C177</v>
      </c>
      <c r="CN10" s="268">
        <f>'COSTO-POSTRE'!G196</f>
        <v>0</v>
      </c>
      <c r="CO10" s="271"/>
      <c r="CP10" s="175" t="str">
        <f t="shared" si="10"/>
        <v>COSTO-ACOMPAÑAMIENTO'!C177</v>
      </c>
      <c r="CQ10" s="270">
        <f>'COSTO-ACOMPAÑAMIENTO'!G194</f>
        <v>0</v>
      </c>
    </row>
    <row r="11" spans="2:95" ht="30">
      <c r="B11" s="278" t="s">
        <v>43</v>
      </c>
      <c r="C11" s="279" t="s">
        <v>32</v>
      </c>
      <c r="D11" s="284" t="s">
        <v>362</v>
      </c>
      <c r="E11" s="281" t="s">
        <v>63</v>
      </c>
      <c r="F11" s="282" t="s">
        <v>33</v>
      </c>
      <c r="G11" s="286" t="s">
        <v>107</v>
      </c>
      <c r="I11" s="175" t="str">
        <f t="shared" si="0"/>
        <v>COSTO-ENTRADAS'!C198</v>
      </c>
      <c r="J11" s="270">
        <f>'COSTO-ENTRADAS'!G284*DATOS!I3</f>
        <v>0.5851222833994708</v>
      </c>
      <c r="L11" s="261" t="str">
        <f t="shared" si="1"/>
        <v>COSTO-SOPAS'!C198</v>
      </c>
      <c r="M11" s="262">
        <f>'COSTO-SOPAS'!G307*DATOS!I3</f>
        <v>0.6771374811921295</v>
      </c>
      <c r="O11" s="263" t="str">
        <f t="shared" si="2"/>
        <v>Lomo con champiñones y 
pollo  a la plancha</v>
      </c>
      <c r="P11" s="264">
        <f>'COSTO-FUERTES'!G392*DATOS!I3</f>
        <v>3.0842579652427258</v>
      </c>
      <c r="R11" s="265" t="str">
        <f t="shared" si="3"/>
        <v>COSTO-BEBIDAS'!C198</v>
      </c>
      <c r="S11" s="266">
        <f>'COSTO-BEBIDAS'!G215*DATOS!I3</f>
        <v>0.24537386078042328</v>
      </c>
      <c r="U11" s="267" t="str">
        <f t="shared" si="4"/>
        <v>COSTO-POSTRE'!C198</v>
      </c>
      <c r="V11" s="268">
        <f>'COSTO-POSTRE'!G239*DATOS!I3</f>
        <v>0.2595300450562169</v>
      </c>
      <c r="CA11" s="175" t="str">
        <f t="shared" si="5"/>
        <v>COSTO-ENTRADAS'!C198</v>
      </c>
      <c r="CB11" s="270">
        <f>'COSTO-ENTRADAS'!G265</f>
        <v>0</v>
      </c>
      <c r="CC11" s="175"/>
      <c r="CD11" s="261" t="str">
        <f t="shared" si="6"/>
        <v>COSTO-SOPAS'!C198</v>
      </c>
      <c r="CE11" s="262">
        <f>'COSTO-SOPAS'!G288</f>
        <v>0</v>
      </c>
      <c r="CF11" s="261"/>
      <c r="CG11" s="263" t="str">
        <f t="shared" si="7"/>
        <v>Lomo con champiñones y 
pollo  a la plancha</v>
      </c>
      <c r="CH11" s="264">
        <f>'COSTO-FUERTES'!G361</f>
        <v>1.6719564950000003</v>
      </c>
      <c r="CI11" s="263"/>
      <c r="CJ11" s="265" t="str">
        <f t="shared" si="8"/>
        <v>COSTO-BEBIDAS'!C198</v>
      </c>
      <c r="CK11" s="266">
        <f>'COSTO-BEBIDAS'!G196</f>
        <v>0</v>
      </c>
      <c r="CL11" s="265"/>
      <c r="CM11" s="267" t="str">
        <f t="shared" si="9"/>
        <v>COSTO-POSTRE'!C198</v>
      </c>
      <c r="CN11" s="268">
        <f>'COSTO-POSTRE'!G220</f>
        <v>0</v>
      </c>
      <c r="CO11" s="271"/>
      <c r="CP11" s="175" t="str">
        <f t="shared" si="10"/>
        <v>COSTO-ACOMPAÑAMIENTO'!C198</v>
      </c>
      <c r="CQ11" s="270">
        <f>'COSTO-ACOMPAÑAMIENTO'!G218</f>
        <v>0</v>
      </c>
    </row>
    <row r="12" spans="2:95" ht="30">
      <c r="B12" s="278" t="s">
        <v>37</v>
      </c>
      <c r="C12" s="279" t="s">
        <v>31</v>
      </c>
      <c r="D12" s="284" t="s">
        <v>90</v>
      </c>
      <c r="E12" s="281" t="s">
        <v>61</v>
      </c>
      <c r="F12" s="282" t="s">
        <v>39</v>
      </c>
      <c r="G12" s="286" t="s">
        <v>108</v>
      </c>
      <c r="I12" s="175" t="str">
        <f t="shared" si="0"/>
        <v>COSTO-ENTRADAS'!C220</v>
      </c>
      <c r="J12" s="270">
        <f>'COSTO-ENTRADAS'!G309*DATOS!I3</f>
        <v>0.5851222833994708</v>
      </c>
      <c r="K12" s="258"/>
      <c r="L12" s="261" t="str">
        <f t="shared" si="1"/>
        <v>COSTO-SOPAS'!C220</v>
      </c>
      <c r="M12" s="287">
        <f>'COSTO-SOPAS'!G332*DATOS!I3</f>
        <v>0.6771374811921295</v>
      </c>
      <c r="O12" s="263" t="str">
        <f t="shared" si="2"/>
        <v>Papi Pollo</v>
      </c>
      <c r="P12" s="264">
        <f>'COSTO-FUERTES'!G425*DATOS!I3</f>
        <v>2.3007308875760577</v>
      </c>
      <c r="R12" s="265" t="str">
        <f t="shared" si="3"/>
        <v>COSTO-BEBIDAS'!C220</v>
      </c>
      <c r="S12" s="266">
        <f>'COSTO-BEBIDAS'!G240*DATOS!I3</f>
        <v>0.24537386078042328</v>
      </c>
      <c r="U12" s="267" t="str">
        <f t="shared" si="4"/>
        <v>COSTO-POSTRE'!C220</v>
      </c>
      <c r="V12" s="268">
        <f>'COSTO-POSTRE'!G264*DATOS!I3</f>
        <v>0.2595300450562169</v>
      </c>
      <c r="CA12" s="175" t="str">
        <f t="shared" si="5"/>
        <v>COSTO-ENTRADAS'!C220</v>
      </c>
      <c r="CB12" s="270">
        <f>'COSTO-ENTRADAS'!G290</f>
        <v>0</v>
      </c>
      <c r="CC12" s="258"/>
      <c r="CD12" s="261" t="str">
        <f t="shared" si="6"/>
        <v>COSTO-SOPAS'!C220</v>
      </c>
      <c r="CE12" s="287">
        <f>'COSTO-SOPAS'!G313</f>
        <v>0</v>
      </c>
      <c r="CF12" s="261"/>
      <c r="CG12" s="263" t="str">
        <f t="shared" si="7"/>
        <v>Papi Pollo</v>
      </c>
      <c r="CH12" s="264">
        <f>'COSTO-FUERTES'!G398</f>
        <v>1.0692433583333332</v>
      </c>
      <c r="CI12" s="263"/>
      <c r="CJ12" s="265" t="str">
        <f t="shared" si="8"/>
        <v>COSTO-BEBIDAS'!C220</v>
      </c>
      <c r="CK12" s="266">
        <f>'COSTO-BEBIDAS'!G221</f>
        <v>0</v>
      </c>
      <c r="CL12" s="265"/>
      <c r="CM12" s="267" t="str">
        <f t="shared" si="9"/>
        <v>COSTO-POSTRE'!C220</v>
      </c>
      <c r="CN12" s="268">
        <f>'COSTO-POSTRE'!G245</f>
        <v>0</v>
      </c>
      <c r="CO12" s="271"/>
      <c r="CP12" s="175" t="str">
        <f t="shared" si="10"/>
        <v>COSTO-ACOMPAÑAMIENTO'!C220</v>
      </c>
      <c r="CQ12" s="270">
        <f>'COSTO-ACOMPAÑAMIENTO'!G243</f>
        <v>0</v>
      </c>
    </row>
    <row r="13" spans="2:95" ht="30">
      <c r="B13" s="278" t="s">
        <v>40</v>
      </c>
      <c r="C13" s="279" t="s">
        <v>44</v>
      </c>
      <c r="D13" s="284" t="s">
        <v>364</v>
      </c>
      <c r="E13" s="281" t="s">
        <v>65</v>
      </c>
      <c r="F13" s="282" t="s">
        <v>46</v>
      </c>
      <c r="G13" s="286" t="s">
        <v>109</v>
      </c>
      <c r="I13" s="175" t="str">
        <f t="shared" si="0"/>
        <v>COSTO-ENTRADAS'!C241</v>
      </c>
      <c r="J13" s="270">
        <f>'COSTO-ENTRADAS'!G333*DATOS!I3</f>
        <v>0.5851222833994708</v>
      </c>
      <c r="L13" s="261" t="str">
        <f t="shared" si="1"/>
        <v>COSTO-SOPAS'!C241</v>
      </c>
      <c r="M13" s="262">
        <f>'COSTO-SOPAS'!G356*DATOS!I3</f>
        <v>0.6771374811921295</v>
      </c>
      <c r="O13" s="263" t="str">
        <f t="shared" si="2"/>
        <v>COSTO-FUERTES'!C241</v>
      </c>
      <c r="P13" s="264">
        <f>'COSTO-FUERTES'!G450*DATOS!I3</f>
        <v>1.4164950112427248</v>
      </c>
      <c r="R13" s="265" t="str">
        <f t="shared" si="3"/>
        <v>COSTO-BEBIDAS'!C241</v>
      </c>
      <c r="S13" s="266">
        <f>'COSTO-BEBIDAS'!G264*DATOS!I3</f>
        <v>0.24537386078042328</v>
      </c>
      <c r="U13" s="267" t="str">
        <f t="shared" si="4"/>
        <v>COSTO-POSTRE'!C241</v>
      </c>
      <c r="V13" s="268">
        <f>'COSTO-POSTRE'!G288*DATOS!I3</f>
        <v>0.2595300450562169</v>
      </c>
      <c r="CA13" s="175" t="str">
        <f t="shared" si="5"/>
        <v>COSTO-ENTRADAS'!C241</v>
      </c>
      <c r="CB13" s="270">
        <f>'COSTO-ENTRADAS'!G314</f>
        <v>0</v>
      </c>
      <c r="CC13" s="175"/>
      <c r="CD13" s="261" t="str">
        <f t="shared" si="6"/>
        <v>COSTO-SOPAS'!C241</v>
      </c>
      <c r="CE13" s="262">
        <f>'COSTO-SOPAS'!G337</f>
        <v>0</v>
      </c>
      <c r="CF13" s="261"/>
      <c r="CG13" s="263" t="str">
        <f t="shared" si="7"/>
        <v>COSTO-FUERTES'!C241</v>
      </c>
      <c r="CH13" s="264">
        <f>'COSTO-FUERTES'!G430</f>
        <v>0.389061915</v>
      </c>
      <c r="CI13" s="263"/>
      <c r="CJ13" s="265" t="str">
        <f t="shared" si="8"/>
        <v>COSTO-BEBIDAS'!C241</v>
      </c>
      <c r="CK13" s="266">
        <f>'COSTO-BEBIDAS'!G245</f>
        <v>0</v>
      </c>
      <c r="CL13" s="265"/>
      <c r="CM13" s="267" t="str">
        <f t="shared" si="9"/>
        <v>COSTO-POSTRE'!C241</v>
      </c>
      <c r="CN13" s="268">
        <f>'COSTO-POSTRE'!G269</f>
        <v>0</v>
      </c>
      <c r="CO13" s="271"/>
      <c r="CP13" s="175" t="str">
        <f t="shared" si="10"/>
        <v>COSTO-ACOMPAÑAMIENTO'!C241</v>
      </c>
      <c r="CQ13" s="270">
        <f>'COSTO-ACOMPAÑAMIENTO'!G267</f>
        <v>0</v>
      </c>
    </row>
    <row r="14" spans="2:95" ht="30">
      <c r="B14" s="278" t="s">
        <v>34</v>
      </c>
      <c r="C14" s="279" t="s">
        <v>41</v>
      </c>
      <c r="D14" s="284" t="s">
        <v>365</v>
      </c>
      <c r="E14" s="281" t="s">
        <v>64</v>
      </c>
      <c r="F14" s="282" t="s">
        <v>30</v>
      </c>
      <c r="G14" s="286" t="s">
        <v>110</v>
      </c>
      <c r="I14" s="175" t="str">
        <f t="shared" si="0"/>
        <v>COSTO-ENTRADAS'!C263</v>
      </c>
      <c r="J14" s="270">
        <f>'COSTO-ENTRADAS'!G358*DATOS!I3</f>
        <v>0.5851222833994708</v>
      </c>
      <c r="L14" s="261" t="str">
        <f t="shared" si="1"/>
        <v>COSTO-SOPAS'!C263</v>
      </c>
      <c r="M14" s="262">
        <f>'COSTO-SOPAS'!G381*DATOS!I3</f>
        <v>0.6771374811921295</v>
      </c>
      <c r="O14" s="263" t="str">
        <f t="shared" si="2"/>
        <v>COSTO-FUERTES'!C263</v>
      </c>
      <c r="P14" s="264">
        <f>'COSTO-FUERTES'!G475*DATOS!I3</f>
        <v>1.4164950112427248</v>
      </c>
      <c r="R14" s="265" t="str">
        <f t="shared" si="3"/>
        <v>COSTO-BEBIDAS'!C263</v>
      </c>
      <c r="S14" s="266">
        <f>'COSTO-BEBIDAS'!G289*DATOS!I3</f>
        <v>0.24537386078042328</v>
      </c>
      <c r="U14" s="267" t="str">
        <f t="shared" si="4"/>
        <v>COSTO-POSTRE'!C263</v>
      </c>
      <c r="V14" s="268">
        <f>'COSTO-POSTRE'!G313*DATOS!I3</f>
        <v>0.2595300450562169</v>
      </c>
      <c r="CA14" s="175" t="str">
        <f t="shared" si="5"/>
        <v>COSTO-ENTRADAS'!C263</v>
      </c>
      <c r="CB14" s="270">
        <f>'COSTO-ENTRADAS'!G339</f>
        <v>0</v>
      </c>
      <c r="CC14" s="175"/>
      <c r="CD14" s="261" t="str">
        <f t="shared" si="6"/>
        <v>COSTO-SOPAS'!C263</v>
      </c>
      <c r="CE14" s="262">
        <f>'COSTO-SOPAS'!G362</f>
        <v>0</v>
      </c>
      <c r="CF14" s="261"/>
      <c r="CG14" s="263" t="str">
        <f t="shared" si="7"/>
        <v>COSTO-FUERTES'!C263</v>
      </c>
      <c r="CH14" s="264">
        <f>'COSTO-FUERTES'!G456</f>
        <v>0.389061915</v>
      </c>
      <c r="CI14" s="263"/>
      <c r="CJ14" s="265" t="str">
        <f t="shared" si="8"/>
        <v>COSTO-BEBIDAS'!C263</v>
      </c>
      <c r="CK14" s="266">
        <f>'COSTO-BEBIDAS'!G270</f>
        <v>0</v>
      </c>
      <c r="CL14" s="265"/>
      <c r="CM14" s="267" t="str">
        <f t="shared" si="9"/>
        <v>COSTO-POSTRE'!C263</v>
      </c>
      <c r="CN14" s="268">
        <f>'COSTO-POSTRE'!G294</f>
        <v>0</v>
      </c>
      <c r="CO14" s="271"/>
      <c r="CP14" s="175" t="str">
        <f t="shared" si="10"/>
        <v>COSTO-ACOMPAÑAMIENTO'!C263</v>
      </c>
      <c r="CQ14" s="270">
        <f>'COSTO-ACOMPAÑAMIENTO'!G292</f>
        <v>0</v>
      </c>
    </row>
    <row r="15" spans="2:93" ht="30">
      <c r="B15" s="278" t="s">
        <v>28</v>
      </c>
      <c r="C15" s="279" t="s">
        <v>50</v>
      </c>
      <c r="D15" s="284" t="s">
        <v>363</v>
      </c>
      <c r="E15" s="281" t="s">
        <v>62</v>
      </c>
      <c r="F15" s="288" t="s">
        <v>111</v>
      </c>
      <c r="G15" s="286" t="s">
        <v>112</v>
      </c>
      <c r="CA15" s="175"/>
      <c r="CB15" s="175"/>
      <c r="CC15" s="175"/>
      <c r="CD15" s="261"/>
      <c r="CE15" s="261"/>
      <c r="CF15" s="261"/>
      <c r="CG15" s="263"/>
      <c r="CH15" s="263"/>
      <c r="CI15" s="263"/>
      <c r="CJ15" s="265"/>
      <c r="CK15" s="265"/>
      <c r="CL15" s="265"/>
      <c r="CM15" s="267"/>
      <c r="CN15" s="267"/>
      <c r="CO15" s="271"/>
    </row>
    <row r="16" spans="2:93" ht="30">
      <c r="B16" s="278" t="s">
        <v>257</v>
      </c>
      <c r="C16" s="279" t="s">
        <v>29</v>
      </c>
      <c r="D16" s="284" t="s">
        <v>251</v>
      </c>
      <c r="E16" s="281" t="s">
        <v>59</v>
      </c>
      <c r="F16" s="288" t="s">
        <v>113</v>
      </c>
      <c r="G16" s="289" t="s">
        <v>114</v>
      </c>
      <c r="CA16" s="175"/>
      <c r="CB16" s="175"/>
      <c r="CC16" s="175"/>
      <c r="CD16" s="261"/>
      <c r="CE16" s="261"/>
      <c r="CF16" s="261"/>
      <c r="CG16" s="263"/>
      <c r="CH16" s="263"/>
      <c r="CI16" s="263"/>
      <c r="CJ16" s="265"/>
      <c r="CK16" s="265"/>
      <c r="CL16" s="265"/>
      <c r="CM16" s="267"/>
      <c r="CN16" s="267"/>
      <c r="CO16" s="271"/>
    </row>
    <row r="17" spans="2:93" ht="30">
      <c r="B17" s="290" t="s">
        <v>99</v>
      </c>
      <c r="C17" s="291" t="s">
        <v>100</v>
      </c>
      <c r="D17" s="284" t="s">
        <v>382</v>
      </c>
      <c r="E17" s="292" t="s">
        <v>115</v>
      </c>
      <c r="F17" s="288" t="s">
        <v>116</v>
      </c>
      <c r="G17" s="289" t="s">
        <v>117</v>
      </c>
      <c r="CA17" s="175"/>
      <c r="CB17" s="175"/>
      <c r="CC17" s="175"/>
      <c r="CD17" s="261"/>
      <c r="CE17" s="261"/>
      <c r="CF17" s="261"/>
      <c r="CG17" s="263"/>
      <c r="CH17" s="263"/>
      <c r="CI17" s="263"/>
      <c r="CJ17" s="265"/>
      <c r="CK17" s="265"/>
      <c r="CL17" s="265"/>
      <c r="CM17" s="267"/>
      <c r="CN17" s="267"/>
      <c r="CO17" s="271"/>
    </row>
    <row r="18" spans="2:93" ht="30">
      <c r="B18" s="290" t="s">
        <v>101</v>
      </c>
      <c r="C18" s="291" t="s">
        <v>102</v>
      </c>
      <c r="D18" s="284" t="s">
        <v>252</v>
      </c>
      <c r="E18" s="292" t="s">
        <v>118</v>
      </c>
      <c r="F18" s="288" t="s">
        <v>119</v>
      </c>
      <c r="G18" s="289" t="s">
        <v>120</v>
      </c>
      <c r="CA18" s="175"/>
      <c r="CB18" s="175"/>
      <c r="CC18" s="175"/>
      <c r="CD18" s="261"/>
      <c r="CE18" s="261"/>
      <c r="CF18" s="261"/>
      <c r="CG18" s="263"/>
      <c r="CH18" s="263"/>
      <c r="CI18" s="263"/>
      <c r="CJ18" s="265"/>
      <c r="CK18" s="265"/>
      <c r="CL18" s="265"/>
      <c r="CM18" s="267"/>
      <c r="CN18" s="267"/>
      <c r="CO18" s="271"/>
    </row>
    <row r="19" spans="2:93" ht="30">
      <c r="B19" s="290" t="s">
        <v>103</v>
      </c>
      <c r="C19" s="291" t="s">
        <v>104</v>
      </c>
      <c r="D19" s="293" t="s">
        <v>121</v>
      </c>
      <c r="E19" s="292" t="s">
        <v>122</v>
      </c>
      <c r="F19" s="288" t="s">
        <v>123</v>
      </c>
      <c r="G19" s="289" t="s">
        <v>124</v>
      </c>
      <c r="CA19" s="175"/>
      <c r="CB19" s="175"/>
      <c r="CC19" s="175"/>
      <c r="CD19" s="261"/>
      <c r="CE19" s="261"/>
      <c r="CF19" s="261"/>
      <c r="CG19" s="263"/>
      <c r="CH19" s="263"/>
      <c r="CI19" s="263"/>
      <c r="CJ19" s="265"/>
      <c r="CK19" s="265"/>
      <c r="CL19" s="265"/>
      <c r="CM19" s="267"/>
      <c r="CN19" s="267"/>
      <c r="CO19" s="271"/>
    </row>
    <row r="20" spans="2:93" ht="30">
      <c r="B20" s="290" t="s">
        <v>105</v>
      </c>
      <c r="C20" s="291" t="s">
        <v>106</v>
      </c>
      <c r="D20" s="293" t="s">
        <v>125</v>
      </c>
      <c r="E20" s="292" t="s">
        <v>126</v>
      </c>
      <c r="F20" s="288" t="s">
        <v>127</v>
      </c>
      <c r="G20" s="289" t="s">
        <v>128</v>
      </c>
      <c r="CA20" s="175"/>
      <c r="CB20" s="175"/>
      <c r="CC20" s="175"/>
      <c r="CD20" s="261"/>
      <c r="CE20" s="261"/>
      <c r="CF20" s="261"/>
      <c r="CG20" s="263"/>
      <c r="CH20" s="263"/>
      <c r="CI20" s="263"/>
      <c r="CJ20" s="265"/>
      <c r="CK20" s="265"/>
      <c r="CL20" s="265"/>
      <c r="CM20" s="267"/>
      <c r="CN20" s="267"/>
      <c r="CO20" s="271"/>
    </row>
    <row r="21" spans="2:93" ht="15">
      <c r="B21" s="259"/>
      <c r="C21" s="259"/>
      <c r="D21" s="259"/>
      <c r="E21" s="259"/>
      <c r="F21" s="259"/>
      <c r="G21" s="259"/>
      <c r="CA21" s="175"/>
      <c r="CB21" s="175"/>
      <c r="CC21" s="175"/>
      <c r="CD21" s="261"/>
      <c r="CE21" s="261"/>
      <c r="CF21" s="261"/>
      <c r="CG21" s="263"/>
      <c r="CH21" s="263"/>
      <c r="CI21" s="263"/>
      <c r="CJ21" s="265"/>
      <c r="CK21" s="265"/>
      <c r="CL21" s="265"/>
      <c r="CM21" s="267"/>
      <c r="CN21" s="267"/>
      <c r="CO21" s="271"/>
    </row>
    <row r="22" spans="2:93" ht="15">
      <c r="B22" s="259"/>
      <c r="C22" s="259"/>
      <c r="D22" s="259"/>
      <c r="E22" s="259"/>
      <c r="F22" s="259"/>
      <c r="G22" s="259"/>
      <c r="CA22" s="175"/>
      <c r="CB22" s="175"/>
      <c r="CC22" s="175"/>
      <c r="CD22" s="261"/>
      <c r="CE22" s="261"/>
      <c r="CF22" s="261"/>
      <c r="CG22" s="263"/>
      <c r="CH22" s="263"/>
      <c r="CI22" s="263"/>
      <c r="CJ22" s="265"/>
      <c r="CK22" s="265"/>
      <c r="CL22" s="265"/>
      <c r="CM22" s="267"/>
      <c r="CN22" s="267"/>
      <c r="CO22" s="271"/>
    </row>
    <row r="23" spans="2:93" ht="15">
      <c r="B23" s="259"/>
      <c r="C23" s="259"/>
      <c r="D23" s="259"/>
      <c r="E23" s="259"/>
      <c r="F23" s="259"/>
      <c r="G23" s="259"/>
      <c r="CA23" s="175"/>
      <c r="CB23" s="175"/>
      <c r="CC23" s="175"/>
      <c r="CD23" s="261"/>
      <c r="CE23" s="261"/>
      <c r="CF23" s="261"/>
      <c r="CG23" s="263"/>
      <c r="CH23" s="263"/>
      <c r="CI23" s="263"/>
      <c r="CJ23" s="265"/>
      <c r="CK23" s="265"/>
      <c r="CL23" s="265"/>
      <c r="CM23" s="267"/>
      <c r="CN23" s="267"/>
      <c r="CO23" s="271"/>
    </row>
    <row r="24" spans="2:93" ht="15">
      <c r="B24" s="259"/>
      <c r="C24" s="259"/>
      <c r="D24" s="259"/>
      <c r="E24" s="259"/>
      <c r="F24" s="259"/>
      <c r="G24" s="259"/>
      <c r="CA24" s="175"/>
      <c r="CB24" s="175"/>
      <c r="CC24" s="175"/>
      <c r="CD24" s="261"/>
      <c r="CE24" s="261"/>
      <c r="CF24" s="261"/>
      <c r="CG24" s="263"/>
      <c r="CH24" s="263"/>
      <c r="CI24" s="263"/>
      <c r="CJ24" s="265"/>
      <c r="CK24" s="265"/>
      <c r="CL24" s="265"/>
      <c r="CM24" s="267"/>
      <c r="CN24" s="267"/>
      <c r="CO24" s="271"/>
    </row>
    <row r="25" spans="2:93" ht="15">
      <c r="B25" s="259"/>
      <c r="C25" s="259"/>
      <c r="D25" s="259"/>
      <c r="E25" s="259"/>
      <c r="F25" s="259"/>
      <c r="G25" s="259"/>
      <c r="CA25" s="175"/>
      <c r="CB25" s="175"/>
      <c r="CC25" s="175"/>
      <c r="CD25" s="261"/>
      <c r="CE25" s="261"/>
      <c r="CF25" s="261"/>
      <c r="CG25" s="263"/>
      <c r="CH25" s="263"/>
      <c r="CI25" s="263"/>
      <c r="CJ25" s="265"/>
      <c r="CK25" s="265"/>
      <c r="CL25" s="265"/>
      <c r="CM25" s="267"/>
      <c r="CN25" s="267"/>
      <c r="CO25" s="271"/>
    </row>
    <row r="26" spans="2:93" ht="15">
      <c r="B26" s="259"/>
      <c r="C26" s="259"/>
      <c r="D26" s="259"/>
      <c r="E26" s="259"/>
      <c r="F26" s="259"/>
      <c r="G26" s="259"/>
      <c r="CA26" s="175"/>
      <c r="CB26" s="175"/>
      <c r="CC26" s="175"/>
      <c r="CD26" s="261"/>
      <c r="CE26" s="261"/>
      <c r="CF26" s="261"/>
      <c r="CG26" s="263"/>
      <c r="CH26" s="263"/>
      <c r="CI26" s="263"/>
      <c r="CJ26" s="265"/>
      <c r="CK26" s="265"/>
      <c r="CL26" s="265"/>
      <c r="CM26" s="267"/>
      <c r="CN26" s="267"/>
      <c r="CO26" s="271"/>
    </row>
    <row r="27" spans="2:93" ht="15">
      <c r="B27" s="259"/>
      <c r="C27" s="259"/>
      <c r="D27" s="259"/>
      <c r="E27" s="259"/>
      <c r="F27" s="259"/>
      <c r="G27" s="259"/>
      <c r="CA27" s="175"/>
      <c r="CB27" s="175"/>
      <c r="CC27" s="175"/>
      <c r="CD27" s="261"/>
      <c r="CE27" s="261"/>
      <c r="CF27" s="261"/>
      <c r="CG27" s="263"/>
      <c r="CH27" s="263"/>
      <c r="CI27" s="263"/>
      <c r="CJ27" s="265"/>
      <c r="CK27" s="265"/>
      <c r="CL27" s="265"/>
      <c r="CM27" s="267"/>
      <c r="CN27" s="267"/>
      <c r="CO27" s="271"/>
    </row>
    <row r="28" spans="2:93" ht="15">
      <c r="B28" s="259"/>
      <c r="C28" s="259"/>
      <c r="D28" s="259"/>
      <c r="E28" s="259"/>
      <c r="F28" s="259"/>
      <c r="G28" s="259"/>
      <c r="L28" s="294" t="s">
        <v>12</v>
      </c>
      <c r="M28" s="261" t="s">
        <v>72</v>
      </c>
      <c r="N28" s="261">
        <v>2</v>
      </c>
      <c r="O28" s="263" t="s">
        <v>15</v>
      </c>
      <c r="P28" s="263" t="s">
        <v>83</v>
      </c>
      <c r="R28" s="265" t="s">
        <v>84</v>
      </c>
      <c r="CA28" s="175"/>
      <c r="CB28" s="175"/>
      <c r="CC28" s="175"/>
      <c r="CD28" s="294"/>
      <c r="CE28" s="261"/>
      <c r="CF28" s="261"/>
      <c r="CG28" s="263"/>
      <c r="CH28" s="263"/>
      <c r="CI28" s="263"/>
      <c r="CJ28" s="265"/>
      <c r="CK28" s="265"/>
      <c r="CL28" s="265"/>
      <c r="CM28" s="267"/>
      <c r="CN28" s="267"/>
      <c r="CO28" s="271"/>
    </row>
    <row r="29" spans="2:93" ht="15">
      <c r="B29" s="259"/>
      <c r="C29" s="259"/>
      <c r="D29" s="259"/>
      <c r="E29" s="259"/>
      <c r="F29" s="259"/>
      <c r="G29" s="259"/>
      <c r="L29" s="261" t="str">
        <f>G8</f>
        <v>Canguil</v>
      </c>
      <c r="M29" s="262">
        <f>'COSTO-ACOMPAÑAMIENTO'!G23*DATOS!I3</f>
        <v>0.5454532229877646</v>
      </c>
      <c r="N29" s="261">
        <v>14</v>
      </c>
      <c r="O29" s="263" t="s">
        <v>22</v>
      </c>
      <c r="P29" s="263">
        <v>15</v>
      </c>
      <c r="R29" s="265" t="s">
        <v>22</v>
      </c>
      <c r="S29" s="265">
        <v>40</v>
      </c>
      <c r="CA29" s="175"/>
      <c r="CB29" s="175"/>
      <c r="CC29" s="175"/>
      <c r="CD29" s="261"/>
      <c r="CE29" s="262"/>
      <c r="CF29" s="261"/>
      <c r="CG29" s="263"/>
      <c r="CH29" s="263"/>
      <c r="CI29" s="263"/>
      <c r="CJ29" s="265"/>
      <c r="CK29" s="265">
        <v>40</v>
      </c>
      <c r="CL29" s="265"/>
      <c r="CM29" s="267"/>
      <c r="CN29" s="267"/>
      <c r="CO29" s="271"/>
    </row>
    <row r="30" spans="2:93" ht="15">
      <c r="B30" s="259"/>
      <c r="C30" s="259"/>
      <c r="D30" s="259"/>
      <c r="E30" s="259"/>
      <c r="F30" s="259"/>
      <c r="G30" s="259"/>
      <c r="L30" s="261" t="str">
        <f aca="true" t="shared" si="11" ref="L30:L41">G9</f>
        <v>Canguil con Chifles</v>
      </c>
      <c r="M30" s="262">
        <f>'COSTO-ACOMPAÑAMIENTO'!G45*DATOS!I3</f>
        <v>0.5714506229877645</v>
      </c>
      <c r="N30" s="261">
        <v>14</v>
      </c>
      <c r="O30" s="263" t="s">
        <v>85</v>
      </c>
      <c r="P30" s="263">
        <v>0</v>
      </c>
      <c r="Q30" s="263">
        <v>2</v>
      </c>
      <c r="R30" s="265" t="s">
        <v>85</v>
      </c>
      <c r="S30" s="265">
        <v>40</v>
      </c>
      <c r="CA30" s="175"/>
      <c r="CB30" s="175"/>
      <c r="CC30" s="175"/>
      <c r="CD30" s="261"/>
      <c r="CE30" s="262"/>
      <c r="CF30" s="261"/>
      <c r="CG30" s="263"/>
      <c r="CH30" s="263"/>
      <c r="CI30" s="263"/>
      <c r="CJ30" s="265"/>
      <c r="CK30" s="265">
        <v>40</v>
      </c>
      <c r="CL30" s="265"/>
      <c r="CM30" s="267"/>
      <c r="CN30" s="267"/>
      <c r="CO30" s="271"/>
    </row>
    <row r="31" spans="2:93" ht="15">
      <c r="B31" s="259"/>
      <c r="C31" s="259"/>
      <c r="D31" s="259"/>
      <c r="E31" s="259"/>
      <c r="F31" s="259"/>
      <c r="G31" s="259"/>
      <c r="L31" s="261" t="str">
        <f t="shared" si="11"/>
        <v>Rodajas de pan con 
mantequilla</v>
      </c>
      <c r="M31" s="262">
        <f>'COSTO-ACOMPAÑAMIENTO'!G66*DATOS!I3</f>
        <v>0.24708866298776455</v>
      </c>
      <c r="N31" s="261">
        <v>14</v>
      </c>
      <c r="CA31" s="175"/>
      <c r="CB31" s="175"/>
      <c r="CC31" s="175"/>
      <c r="CD31" s="261"/>
      <c r="CE31" s="262"/>
      <c r="CF31" s="261"/>
      <c r="CG31" s="263"/>
      <c r="CH31" s="263"/>
      <c r="CI31" s="263"/>
      <c r="CJ31" s="265"/>
      <c r="CK31" s="265"/>
      <c r="CL31" s="265"/>
      <c r="CM31" s="267"/>
      <c r="CN31" s="267"/>
      <c r="CO31" s="271"/>
    </row>
    <row r="32" spans="2:93" ht="15">
      <c r="B32" s="259"/>
      <c r="C32" s="259"/>
      <c r="D32" s="259"/>
      <c r="E32" s="259"/>
      <c r="F32" s="259"/>
      <c r="G32" s="259"/>
      <c r="L32" s="261" t="str">
        <f t="shared" si="11"/>
        <v>COSTO-ACOMPAÑAMIENTO'!C69</v>
      </c>
      <c r="M32" s="262">
        <f>'COSTO-ACOMPAÑAMIENTO'!G90*DATOS!I3</f>
        <v>0.15335866298776452</v>
      </c>
      <c r="N32" s="261">
        <v>14</v>
      </c>
      <c r="CA32" s="175"/>
      <c r="CB32" s="175"/>
      <c r="CC32" s="175"/>
      <c r="CD32" s="261"/>
      <c r="CE32" s="262"/>
      <c r="CF32" s="261"/>
      <c r="CG32" s="263"/>
      <c r="CH32" s="263"/>
      <c r="CI32" s="263"/>
      <c r="CJ32" s="265"/>
      <c r="CK32" s="265"/>
      <c r="CL32" s="265"/>
      <c r="CM32" s="267"/>
      <c r="CN32" s="267"/>
      <c r="CO32" s="271"/>
    </row>
    <row r="33" spans="2:93" ht="15">
      <c r="B33" s="259"/>
      <c r="C33" s="259"/>
      <c r="D33" s="259"/>
      <c r="E33" s="259"/>
      <c r="F33" s="259"/>
      <c r="G33" s="259"/>
      <c r="L33" s="261" t="str">
        <f t="shared" si="11"/>
        <v>COSTO-ACOMPAÑAMIENTO'!C91</v>
      </c>
      <c r="M33" s="262">
        <f>'COSTO-ACOMPAÑAMIENTO'!G115*DATOS!I3</f>
        <v>0.15335866298776452</v>
      </c>
      <c r="CA33" s="175"/>
      <c r="CB33" s="175"/>
      <c r="CC33" s="175"/>
      <c r="CD33" s="261"/>
      <c r="CE33" s="262"/>
      <c r="CF33" s="261"/>
      <c r="CG33" s="263"/>
      <c r="CH33" s="263"/>
      <c r="CI33" s="263"/>
      <c r="CJ33" s="265"/>
      <c r="CK33" s="265"/>
      <c r="CL33" s="265"/>
      <c r="CM33" s="267"/>
      <c r="CN33" s="267"/>
      <c r="CO33" s="271"/>
    </row>
    <row r="34" spans="2:93" ht="15">
      <c r="B34" s="259"/>
      <c r="C34" s="259"/>
      <c r="D34" s="259"/>
      <c r="E34" s="259"/>
      <c r="F34" s="259"/>
      <c r="G34" s="259"/>
      <c r="L34" s="261" t="str">
        <f t="shared" si="11"/>
        <v>COSTO-ACOMPAÑAMIENTO'!C112</v>
      </c>
      <c r="M34" s="262">
        <f>'COSTO-ACOMPAÑAMIENTO'!G139*DATOS!I3</f>
        <v>0.15335866298776452</v>
      </c>
      <c r="N34" s="261">
        <v>1</v>
      </c>
      <c r="CA34" s="175"/>
      <c r="CB34" s="175"/>
      <c r="CC34" s="175"/>
      <c r="CD34" s="261"/>
      <c r="CE34" s="262"/>
      <c r="CF34" s="261"/>
      <c r="CG34" s="263"/>
      <c r="CH34" s="263"/>
      <c r="CI34" s="263"/>
      <c r="CJ34" s="265"/>
      <c r="CK34" s="265"/>
      <c r="CL34" s="265"/>
      <c r="CM34" s="267"/>
      <c r="CN34" s="267"/>
      <c r="CO34" s="271"/>
    </row>
    <row r="35" spans="2:93" ht="15">
      <c r="B35" s="259"/>
      <c r="C35" s="259"/>
      <c r="D35" s="259"/>
      <c r="E35" s="259"/>
      <c r="F35" s="259"/>
      <c r="G35" s="259"/>
      <c r="L35" s="261" t="str">
        <f t="shared" si="11"/>
        <v>COSTO-ACOMPAÑAMIENTO'!C134</v>
      </c>
      <c r="M35" s="262">
        <f>'COSTO-ACOMPAÑAMIENTO'!G164*DATOS!I3</f>
        <v>0.15335866298776452</v>
      </c>
      <c r="CA35" s="175"/>
      <c r="CB35" s="175"/>
      <c r="CC35" s="175"/>
      <c r="CD35" s="261"/>
      <c r="CE35" s="262"/>
      <c r="CF35" s="261"/>
      <c r="CG35" s="263"/>
      <c r="CH35" s="263"/>
      <c r="CI35" s="263"/>
      <c r="CJ35" s="265"/>
      <c r="CK35" s="265"/>
      <c r="CL35" s="265"/>
      <c r="CM35" s="267"/>
      <c r="CN35" s="267"/>
      <c r="CO35" s="271"/>
    </row>
    <row r="36" spans="2:93" ht="15">
      <c r="B36" s="259"/>
      <c r="C36" s="259"/>
      <c r="D36" s="259"/>
      <c r="E36" s="259"/>
      <c r="F36" s="259"/>
      <c r="G36" s="259"/>
      <c r="L36" s="261" t="str">
        <f t="shared" si="11"/>
        <v>COSTO-ACOMPAÑAMIENTO'!C155</v>
      </c>
      <c r="M36" s="262">
        <f>'COSTO-ACOMPAÑAMIENTO'!G188*DATOS!I3</f>
        <v>0.15335866298776452</v>
      </c>
      <c r="CA36" s="175"/>
      <c r="CB36" s="175"/>
      <c r="CC36" s="175"/>
      <c r="CD36" s="261"/>
      <c r="CE36" s="262"/>
      <c r="CF36" s="261"/>
      <c r="CG36" s="263"/>
      <c r="CH36" s="263"/>
      <c r="CI36" s="263"/>
      <c r="CJ36" s="265"/>
      <c r="CK36" s="265"/>
      <c r="CL36" s="265"/>
      <c r="CM36" s="267"/>
      <c r="CN36" s="267"/>
      <c r="CO36" s="271"/>
    </row>
    <row r="37" spans="2:93" ht="15">
      <c r="B37" s="259"/>
      <c r="C37" s="259"/>
      <c r="D37" s="259"/>
      <c r="E37" s="259"/>
      <c r="F37" s="259"/>
      <c r="G37" s="259"/>
      <c r="L37" s="261" t="str">
        <f t="shared" si="11"/>
        <v>COSTO-ACOMPAÑAMIENTO'!C177</v>
      </c>
      <c r="M37" s="262">
        <f>'COSTO-ACOMPAÑAMIENTO'!G213*DATOS!I3</f>
        <v>0.15335866298776452</v>
      </c>
      <c r="CA37" s="175"/>
      <c r="CB37" s="175"/>
      <c r="CC37" s="175"/>
      <c r="CD37" s="261"/>
      <c r="CE37" s="262"/>
      <c r="CF37" s="261"/>
      <c r="CG37" s="263"/>
      <c r="CH37" s="263"/>
      <c r="CI37" s="263"/>
      <c r="CJ37" s="265"/>
      <c r="CK37" s="265"/>
      <c r="CL37" s="265"/>
      <c r="CM37" s="267"/>
      <c r="CN37" s="267"/>
      <c r="CO37" s="271"/>
    </row>
    <row r="38" spans="2:93" ht="15">
      <c r="B38" s="259"/>
      <c r="C38" s="259"/>
      <c r="D38" s="259"/>
      <c r="E38" s="259"/>
      <c r="F38" s="259"/>
      <c r="G38" s="259"/>
      <c r="L38" s="261" t="str">
        <f t="shared" si="11"/>
        <v>COSTO-ACOMPAÑAMIENTO'!C198</v>
      </c>
      <c r="M38" s="262">
        <f>'COSTO-ACOMPAÑAMIENTO'!G237*DATOS!I3</f>
        <v>0.15335866298776452</v>
      </c>
      <c r="CA38" s="175"/>
      <c r="CB38" s="175"/>
      <c r="CC38" s="175"/>
      <c r="CD38" s="261"/>
      <c r="CE38" s="262"/>
      <c r="CF38" s="261"/>
      <c r="CG38" s="263"/>
      <c r="CH38" s="263"/>
      <c r="CI38" s="263"/>
      <c r="CJ38" s="265"/>
      <c r="CK38" s="265"/>
      <c r="CL38" s="265"/>
      <c r="CM38" s="267"/>
      <c r="CN38" s="267"/>
      <c r="CO38" s="271"/>
    </row>
    <row r="39" spans="2:93" ht="15">
      <c r="B39" s="259"/>
      <c r="C39" s="259"/>
      <c r="D39" s="259"/>
      <c r="E39" s="259"/>
      <c r="F39" s="259"/>
      <c r="G39" s="259"/>
      <c r="L39" s="261" t="str">
        <f t="shared" si="11"/>
        <v>COSTO-ACOMPAÑAMIENTO'!C220</v>
      </c>
      <c r="M39" s="262">
        <f>'COSTO-ACOMPAÑAMIENTO'!G262*DATOS!I3</f>
        <v>0.15335866298776452</v>
      </c>
      <c r="CA39" s="175"/>
      <c r="CB39" s="175"/>
      <c r="CC39" s="175"/>
      <c r="CD39" s="261"/>
      <c r="CE39" s="262"/>
      <c r="CF39" s="261"/>
      <c r="CG39" s="263"/>
      <c r="CH39" s="263"/>
      <c r="CI39" s="263"/>
      <c r="CJ39" s="265"/>
      <c r="CK39" s="265"/>
      <c r="CL39" s="265"/>
      <c r="CM39" s="267"/>
      <c r="CN39" s="267"/>
      <c r="CO39" s="271"/>
    </row>
    <row r="40" spans="2:93" ht="15">
      <c r="B40" s="259"/>
      <c r="C40" s="259"/>
      <c r="D40" s="259"/>
      <c r="E40" s="259"/>
      <c r="F40" s="259"/>
      <c r="G40" s="259"/>
      <c r="L40" s="261" t="str">
        <f t="shared" si="11"/>
        <v>COSTO-ACOMPAÑAMIENTO'!C241</v>
      </c>
      <c r="M40" s="262">
        <f>'COSTO-ACOMPAÑAMIENTO'!G286*DATOS!I3</f>
        <v>0.15335866298776452</v>
      </c>
      <c r="CA40" s="175"/>
      <c r="CB40" s="175"/>
      <c r="CC40" s="175"/>
      <c r="CD40" s="261"/>
      <c r="CE40" s="262"/>
      <c r="CF40" s="261"/>
      <c r="CG40" s="263"/>
      <c r="CH40" s="263"/>
      <c r="CI40" s="263"/>
      <c r="CJ40" s="265"/>
      <c r="CK40" s="265"/>
      <c r="CL40" s="265"/>
      <c r="CM40" s="267"/>
      <c r="CN40" s="267"/>
      <c r="CO40" s="271"/>
    </row>
    <row r="41" spans="2:93" ht="15">
      <c r="B41" s="259"/>
      <c r="C41" s="259"/>
      <c r="D41" s="259"/>
      <c r="E41" s="259"/>
      <c r="F41" s="259"/>
      <c r="G41" s="259"/>
      <c r="L41" s="261" t="str">
        <f t="shared" si="11"/>
        <v>COSTO-ACOMPAÑAMIENTO'!C263</v>
      </c>
      <c r="M41" s="262">
        <f>'COSTO-ACOMPAÑAMIENTO'!G311*DATOS!I3</f>
        <v>0.15335866298776452</v>
      </c>
      <c r="CA41" s="175"/>
      <c r="CB41" s="175"/>
      <c r="CC41" s="175"/>
      <c r="CD41" s="261"/>
      <c r="CE41" s="262"/>
      <c r="CF41" s="261"/>
      <c r="CG41" s="263"/>
      <c r="CH41" s="263"/>
      <c r="CI41" s="263"/>
      <c r="CJ41" s="265"/>
      <c r="CK41" s="265"/>
      <c r="CL41" s="265"/>
      <c r="CM41" s="267"/>
      <c r="CN41" s="267"/>
      <c r="CO41" s="271"/>
    </row>
    <row r="42" spans="2:93" ht="15">
      <c r="B42" s="259"/>
      <c r="C42" s="259"/>
      <c r="D42" s="259"/>
      <c r="E42" s="259"/>
      <c r="F42" s="259"/>
      <c r="G42" s="259"/>
      <c r="CA42" s="175"/>
      <c r="CB42" s="175"/>
      <c r="CC42" s="175"/>
      <c r="CD42" s="261"/>
      <c r="CE42" s="261"/>
      <c r="CF42" s="261"/>
      <c r="CG42" s="263"/>
      <c r="CH42" s="263"/>
      <c r="CI42" s="263"/>
      <c r="CJ42" s="265"/>
      <c r="CK42" s="265"/>
      <c r="CL42" s="265"/>
      <c r="CM42" s="267"/>
      <c r="CN42" s="267"/>
      <c r="CO42" s="271"/>
    </row>
    <row r="43" spans="79:93" ht="15">
      <c r="CA43" s="175"/>
      <c r="CB43" s="175"/>
      <c r="CC43" s="175"/>
      <c r="CD43" s="261"/>
      <c r="CE43" s="261"/>
      <c r="CF43" s="261"/>
      <c r="CG43" s="263"/>
      <c r="CH43" s="263"/>
      <c r="CI43" s="263"/>
      <c r="CJ43" s="265"/>
      <c r="CK43" s="265"/>
      <c r="CL43" s="265"/>
      <c r="CM43" s="267"/>
      <c r="CN43" s="267"/>
      <c r="CO43" s="271"/>
    </row>
    <row r="44" spans="79:93" ht="15">
      <c r="CA44" s="175"/>
      <c r="CB44" s="175"/>
      <c r="CC44" s="175"/>
      <c r="CD44" s="261"/>
      <c r="CE44" s="261"/>
      <c r="CF44" s="261"/>
      <c r="CG44" s="263"/>
      <c r="CH44" s="263"/>
      <c r="CI44" s="263"/>
      <c r="CJ44" s="265"/>
      <c r="CK44" s="265"/>
      <c r="CL44" s="265"/>
      <c r="CM44" s="267"/>
      <c r="CN44" s="267"/>
      <c r="CO44" s="271"/>
    </row>
    <row r="45" spans="79:93" ht="15">
      <c r="CA45" s="175"/>
      <c r="CB45" s="175"/>
      <c r="CC45" s="175"/>
      <c r="CD45" s="261"/>
      <c r="CE45" s="261"/>
      <c r="CF45" s="261"/>
      <c r="CG45" s="263"/>
      <c r="CH45" s="263"/>
      <c r="CI45" s="263"/>
      <c r="CJ45" s="265"/>
      <c r="CK45" s="265"/>
      <c r="CL45" s="265"/>
      <c r="CM45" s="267"/>
      <c r="CN45" s="267"/>
      <c r="CO45" s="271"/>
    </row>
    <row r="46" spans="79:93" ht="15">
      <c r="CA46" s="175"/>
      <c r="CB46" s="175"/>
      <c r="CC46" s="175"/>
      <c r="CD46" s="261"/>
      <c r="CE46" s="261"/>
      <c r="CF46" s="261"/>
      <c r="CG46" s="263"/>
      <c r="CH46" s="263"/>
      <c r="CI46" s="263"/>
      <c r="CJ46" s="265"/>
      <c r="CK46" s="265"/>
      <c r="CL46" s="265"/>
      <c r="CM46" s="267"/>
      <c r="CN46" s="267"/>
      <c r="CO46" s="271"/>
    </row>
    <row r="47" spans="79:93" ht="15">
      <c r="CA47" s="175"/>
      <c r="CB47" s="175"/>
      <c r="CC47" s="175"/>
      <c r="CD47" s="261"/>
      <c r="CE47" s="261"/>
      <c r="CF47" s="261"/>
      <c r="CG47" s="263"/>
      <c r="CH47" s="263"/>
      <c r="CI47" s="263"/>
      <c r="CJ47" s="265"/>
      <c r="CK47" s="265"/>
      <c r="CL47" s="265"/>
      <c r="CM47" s="267"/>
      <c r="CN47" s="267"/>
      <c r="CO47" s="271"/>
    </row>
    <row r="48" spans="79:93" ht="15">
      <c r="CA48" s="175"/>
      <c r="CB48" s="175"/>
      <c r="CC48" s="175"/>
      <c r="CD48" s="261"/>
      <c r="CE48" s="261"/>
      <c r="CF48" s="261"/>
      <c r="CG48" s="263"/>
      <c r="CH48" s="263"/>
      <c r="CI48" s="263"/>
      <c r="CJ48" s="265"/>
      <c r="CK48" s="265"/>
      <c r="CL48" s="265"/>
      <c r="CM48" s="267"/>
      <c r="CN48" s="267"/>
      <c r="CO48" s="271"/>
    </row>
    <row r="49" spans="79:93" ht="15">
      <c r="CA49" s="175"/>
      <c r="CB49" s="175"/>
      <c r="CC49" s="175"/>
      <c r="CD49" s="261"/>
      <c r="CE49" s="261"/>
      <c r="CF49" s="261"/>
      <c r="CG49" s="263"/>
      <c r="CH49" s="263"/>
      <c r="CI49" s="263"/>
      <c r="CJ49" s="265"/>
      <c r="CK49" s="265"/>
      <c r="CL49" s="265"/>
      <c r="CM49" s="267"/>
      <c r="CN49" s="267"/>
      <c r="CO49" s="271"/>
    </row>
    <row r="50" spans="79:93" ht="15">
      <c r="CA50" s="175"/>
      <c r="CB50" s="175"/>
      <c r="CC50" s="175"/>
      <c r="CD50" s="261"/>
      <c r="CE50" s="261"/>
      <c r="CF50" s="261"/>
      <c r="CG50" s="263"/>
      <c r="CH50" s="263"/>
      <c r="CI50" s="263"/>
      <c r="CJ50" s="265"/>
      <c r="CK50" s="265"/>
      <c r="CL50" s="265"/>
      <c r="CM50" s="267"/>
      <c r="CN50" s="267"/>
      <c r="CO50" s="271"/>
    </row>
    <row r="51" spans="79:93" ht="15">
      <c r="CA51" s="175"/>
      <c r="CB51" s="175"/>
      <c r="CC51" s="175"/>
      <c r="CD51" s="261"/>
      <c r="CE51" s="261"/>
      <c r="CF51" s="261"/>
      <c r="CG51" s="263"/>
      <c r="CH51" s="263"/>
      <c r="CI51" s="263"/>
      <c r="CJ51" s="265"/>
      <c r="CK51" s="265"/>
      <c r="CL51" s="265"/>
      <c r="CM51" s="267"/>
      <c r="CN51" s="267"/>
      <c r="CO51" s="271"/>
    </row>
    <row r="52" spans="79:93" ht="15">
      <c r="CA52" s="175"/>
      <c r="CB52" s="175"/>
      <c r="CC52" s="175"/>
      <c r="CD52" s="261"/>
      <c r="CE52" s="261"/>
      <c r="CF52" s="261"/>
      <c r="CG52" s="263"/>
      <c r="CH52" s="263"/>
      <c r="CI52" s="263"/>
      <c r="CJ52" s="265"/>
      <c r="CK52" s="265"/>
      <c r="CL52" s="265"/>
      <c r="CM52" s="267"/>
      <c r="CN52" s="267"/>
      <c r="CO52" s="271"/>
    </row>
    <row r="53" spans="79:93" ht="15">
      <c r="CA53" s="175"/>
      <c r="CB53" s="175"/>
      <c r="CC53" s="175"/>
      <c r="CD53" s="261"/>
      <c r="CE53" s="261"/>
      <c r="CF53" s="261"/>
      <c r="CG53" s="263"/>
      <c r="CH53" s="263"/>
      <c r="CI53" s="263"/>
      <c r="CJ53" s="265"/>
      <c r="CK53" s="265"/>
      <c r="CL53" s="265"/>
      <c r="CM53" s="267"/>
      <c r="CN53" s="267"/>
      <c r="CO53" s="271"/>
    </row>
    <row r="54" spans="79:93" ht="15">
      <c r="CA54" s="175"/>
      <c r="CB54" s="175"/>
      <c r="CC54" s="175"/>
      <c r="CD54" s="261"/>
      <c r="CE54" s="261"/>
      <c r="CF54" s="261"/>
      <c r="CG54" s="263"/>
      <c r="CH54" s="263"/>
      <c r="CI54" s="263"/>
      <c r="CJ54" s="265"/>
      <c r="CK54" s="265"/>
      <c r="CL54" s="265"/>
      <c r="CM54" s="267"/>
      <c r="CN54" s="267"/>
      <c r="CO54" s="271"/>
    </row>
    <row r="55" spans="79:93" ht="15">
      <c r="CA55" s="175"/>
      <c r="CB55" s="175"/>
      <c r="CC55" s="175"/>
      <c r="CD55" s="261"/>
      <c r="CE55" s="261"/>
      <c r="CF55" s="261"/>
      <c r="CG55" s="263"/>
      <c r="CH55" s="263"/>
      <c r="CI55" s="263"/>
      <c r="CJ55" s="265"/>
      <c r="CK55" s="265"/>
      <c r="CL55" s="265"/>
      <c r="CM55" s="267"/>
      <c r="CN55" s="267"/>
      <c r="CO55" s="271"/>
    </row>
    <row r="56" spans="79:93" ht="15">
      <c r="CA56" s="175"/>
      <c r="CB56" s="175"/>
      <c r="CC56" s="175"/>
      <c r="CD56" s="261"/>
      <c r="CE56" s="261"/>
      <c r="CF56" s="261"/>
      <c r="CG56" s="263"/>
      <c r="CH56" s="263"/>
      <c r="CI56" s="263"/>
      <c r="CJ56" s="265"/>
      <c r="CK56" s="265"/>
      <c r="CL56" s="265"/>
      <c r="CM56" s="267"/>
      <c r="CN56" s="267"/>
      <c r="CO56" s="271"/>
    </row>
    <row r="57" spans="79:93" ht="15">
      <c r="CA57" s="175"/>
      <c r="CB57" s="175"/>
      <c r="CC57" s="175"/>
      <c r="CD57" s="261"/>
      <c r="CE57" s="261"/>
      <c r="CF57" s="261"/>
      <c r="CG57" s="263"/>
      <c r="CH57" s="263"/>
      <c r="CI57" s="263"/>
      <c r="CJ57" s="265"/>
      <c r="CK57" s="265"/>
      <c r="CL57" s="265"/>
      <c r="CM57" s="267"/>
      <c r="CN57" s="267"/>
      <c r="CO57" s="271"/>
    </row>
    <row r="58" spans="79:93" ht="15">
      <c r="CA58" s="175"/>
      <c r="CB58" s="175"/>
      <c r="CC58" s="175"/>
      <c r="CD58" s="261"/>
      <c r="CE58" s="261"/>
      <c r="CF58" s="261"/>
      <c r="CG58" s="263"/>
      <c r="CH58" s="263"/>
      <c r="CI58" s="263"/>
      <c r="CJ58" s="265"/>
      <c r="CK58" s="265"/>
      <c r="CL58" s="265"/>
      <c r="CM58" s="267"/>
      <c r="CN58" s="267"/>
      <c r="CO58" s="271"/>
    </row>
    <row r="59" spans="79:93" ht="15">
      <c r="CA59" s="175"/>
      <c r="CB59" s="175"/>
      <c r="CC59" s="175"/>
      <c r="CD59" s="261"/>
      <c r="CE59" s="261"/>
      <c r="CF59" s="261"/>
      <c r="CG59" s="263"/>
      <c r="CH59" s="263"/>
      <c r="CI59" s="263"/>
      <c r="CJ59" s="265"/>
      <c r="CK59" s="265"/>
      <c r="CL59" s="265"/>
      <c r="CM59" s="267"/>
      <c r="CN59" s="267"/>
      <c r="CO59" s="271"/>
    </row>
    <row r="60" spans="79:93" ht="15">
      <c r="CA60" s="175"/>
      <c r="CB60" s="175"/>
      <c r="CC60" s="175"/>
      <c r="CD60" s="261"/>
      <c r="CE60" s="261"/>
      <c r="CF60" s="261"/>
      <c r="CG60" s="263"/>
      <c r="CH60" s="263"/>
      <c r="CI60" s="263"/>
      <c r="CJ60" s="265"/>
      <c r="CK60" s="265"/>
      <c r="CL60" s="265"/>
      <c r="CM60" s="267"/>
      <c r="CN60" s="267"/>
      <c r="CO60" s="271"/>
    </row>
    <row r="61" spans="79:93" ht="15">
      <c r="CA61" s="175"/>
      <c r="CB61" s="175"/>
      <c r="CC61" s="175"/>
      <c r="CD61" s="261"/>
      <c r="CE61" s="261"/>
      <c r="CF61" s="261"/>
      <c r="CG61" s="263"/>
      <c r="CH61" s="263"/>
      <c r="CI61" s="263"/>
      <c r="CJ61" s="265"/>
      <c r="CK61" s="265"/>
      <c r="CL61" s="265"/>
      <c r="CM61" s="267"/>
      <c r="CN61" s="267"/>
      <c r="CO61" s="271"/>
    </row>
    <row r="62" spans="79:93" ht="15">
      <c r="CA62" s="175"/>
      <c r="CB62" s="175"/>
      <c r="CC62" s="175"/>
      <c r="CD62" s="261"/>
      <c r="CE62" s="261"/>
      <c r="CF62" s="261"/>
      <c r="CG62" s="263"/>
      <c r="CH62" s="263"/>
      <c r="CI62" s="263"/>
      <c r="CJ62" s="265"/>
      <c r="CK62" s="265"/>
      <c r="CL62" s="265"/>
      <c r="CM62" s="267"/>
      <c r="CN62" s="267"/>
      <c r="CO62" s="271"/>
    </row>
    <row r="63" spans="79:93" ht="15">
      <c r="CA63" s="175"/>
      <c r="CB63" s="175"/>
      <c r="CC63" s="175"/>
      <c r="CD63" s="261"/>
      <c r="CE63" s="261"/>
      <c r="CF63" s="261"/>
      <c r="CG63" s="263"/>
      <c r="CH63" s="263"/>
      <c r="CI63" s="263"/>
      <c r="CJ63" s="265"/>
      <c r="CK63" s="265"/>
      <c r="CL63" s="265"/>
      <c r="CM63" s="267"/>
      <c r="CN63" s="267"/>
      <c r="CO63" s="271"/>
    </row>
    <row r="64" spans="79:93" ht="15">
      <c r="CA64" s="175"/>
      <c r="CB64" s="175"/>
      <c r="CC64" s="175"/>
      <c r="CD64" s="261"/>
      <c r="CE64" s="261"/>
      <c r="CF64" s="261"/>
      <c r="CG64" s="263"/>
      <c r="CH64" s="263"/>
      <c r="CI64" s="263"/>
      <c r="CJ64" s="265"/>
      <c r="CK64" s="265"/>
      <c r="CL64" s="265"/>
      <c r="CM64" s="267"/>
      <c r="CN64" s="267"/>
      <c r="CO64" s="271"/>
    </row>
    <row r="65" spans="79:93" ht="15">
      <c r="CA65" s="175"/>
      <c r="CB65" s="175"/>
      <c r="CC65" s="175"/>
      <c r="CD65" s="261"/>
      <c r="CE65" s="261"/>
      <c r="CF65" s="261"/>
      <c r="CG65" s="263"/>
      <c r="CH65" s="263"/>
      <c r="CI65" s="263"/>
      <c r="CJ65" s="265"/>
      <c r="CK65" s="265"/>
      <c r="CL65" s="265"/>
      <c r="CM65" s="267"/>
      <c r="CN65" s="267"/>
      <c r="CO65" s="271"/>
    </row>
    <row r="66" spans="79:93" ht="15">
      <c r="CA66" s="175"/>
      <c r="CB66" s="175"/>
      <c r="CC66" s="175"/>
      <c r="CD66" s="261"/>
      <c r="CE66" s="261"/>
      <c r="CF66" s="261"/>
      <c r="CG66" s="263"/>
      <c r="CH66" s="263"/>
      <c r="CI66" s="263"/>
      <c r="CJ66" s="265"/>
      <c r="CK66" s="265"/>
      <c r="CL66" s="265"/>
      <c r="CM66" s="267"/>
      <c r="CN66" s="267"/>
      <c r="CO66" s="271"/>
    </row>
    <row r="67" spans="79:93" ht="15">
      <c r="CA67" s="175"/>
      <c r="CB67" s="175"/>
      <c r="CC67" s="175"/>
      <c r="CD67" s="261"/>
      <c r="CE67" s="261"/>
      <c r="CF67" s="261"/>
      <c r="CG67" s="263"/>
      <c r="CH67" s="263"/>
      <c r="CI67" s="263"/>
      <c r="CJ67" s="265"/>
      <c r="CK67" s="265"/>
      <c r="CL67" s="265"/>
      <c r="CM67" s="267"/>
      <c r="CN67" s="267"/>
      <c r="CO67" s="271"/>
    </row>
    <row r="68" spans="79:93" ht="15">
      <c r="CA68" s="175"/>
      <c r="CB68" s="175"/>
      <c r="CC68" s="175"/>
      <c r="CD68" s="261"/>
      <c r="CE68" s="261"/>
      <c r="CF68" s="261"/>
      <c r="CG68" s="263"/>
      <c r="CH68" s="263"/>
      <c r="CI68" s="263"/>
      <c r="CJ68" s="265"/>
      <c r="CK68" s="265"/>
      <c r="CL68" s="265"/>
      <c r="CM68" s="267"/>
      <c r="CN68" s="267"/>
      <c r="CO68" s="271"/>
    </row>
    <row r="69" spans="79:93" ht="15">
      <c r="CA69" s="175"/>
      <c r="CB69" s="175"/>
      <c r="CC69" s="175"/>
      <c r="CD69" s="261"/>
      <c r="CE69" s="261"/>
      <c r="CF69" s="261"/>
      <c r="CG69" s="263"/>
      <c r="CH69" s="263"/>
      <c r="CI69" s="263"/>
      <c r="CJ69" s="265"/>
      <c r="CK69" s="265"/>
      <c r="CL69" s="265"/>
      <c r="CM69" s="267"/>
      <c r="CN69" s="267"/>
      <c r="CO69" s="271"/>
    </row>
    <row r="70" spans="79:93" ht="15">
      <c r="CA70" s="175"/>
      <c r="CB70" s="175"/>
      <c r="CC70" s="175"/>
      <c r="CD70" s="261"/>
      <c r="CE70" s="261"/>
      <c r="CF70" s="261"/>
      <c r="CG70" s="263"/>
      <c r="CH70" s="263"/>
      <c r="CI70" s="263"/>
      <c r="CJ70" s="265"/>
      <c r="CK70" s="265"/>
      <c r="CL70" s="265"/>
      <c r="CM70" s="267"/>
      <c r="CN70" s="267"/>
      <c r="CO70" s="271"/>
    </row>
    <row r="71" spans="79:93" ht="15">
      <c r="CA71" s="175"/>
      <c r="CB71" s="175"/>
      <c r="CC71" s="175"/>
      <c r="CD71" s="261"/>
      <c r="CE71" s="261"/>
      <c r="CF71" s="261"/>
      <c r="CG71" s="263"/>
      <c r="CH71" s="263"/>
      <c r="CI71" s="263"/>
      <c r="CJ71" s="265"/>
      <c r="CK71" s="265"/>
      <c r="CL71" s="265"/>
      <c r="CM71" s="267"/>
      <c r="CN71" s="267"/>
      <c r="CO71" s="271"/>
    </row>
    <row r="72" spans="79:93" ht="15">
      <c r="CA72" s="175"/>
      <c r="CB72" s="175"/>
      <c r="CC72" s="175"/>
      <c r="CD72" s="261"/>
      <c r="CE72" s="261"/>
      <c r="CF72" s="261"/>
      <c r="CG72" s="263"/>
      <c r="CH72" s="263"/>
      <c r="CI72" s="263"/>
      <c r="CJ72" s="265"/>
      <c r="CK72" s="265"/>
      <c r="CL72" s="265"/>
      <c r="CM72" s="267"/>
      <c r="CN72" s="267"/>
      <c r="CO72" s="271"/>
    </row>
    <row r="73" spans="79:93" ht="15">
      <c r="CA73" s="175"/>
      <c r="CB73" s="175"/>
      <c r="CC73" s="175"/>
      <c r="CD73" s="261"/>
      <c r="CE73" s="261"/>
      <c r="CF73" s="261"/>
      <c r="CG73" s="263"/>
      <c r="CH73" s="263"/>
      <c r="CI73" s="263"/>
      <c r="CJ73" s="265"/>
      <c r="CK73" s="265"/>
      <c r="CL73" s="265"/>
      <c r="CM73" s="267"/>
      <c r="CN73" s="267"/>
      <c r="CO73" s="271"/>
    </row>
    <row r="74" spans="79:93" ht="15">
      <c r="CA74" s="175"/>
      <c r="CB74" s="175"/>
      <c r="CC74" s="175"/>
      <c r="CD74" s="261"/>
      <c r="CE74" s="261"/>
      <c r="CF74" s="261"/>
      <c r="CG74" s="263"/>
      <c r="CH74" s="263"/>
      <c r="CI74" s="263"/>
      <c r="CJ74" s="265"/>
      <c r="CK74" s="265"/>
      <c r="CL74" s="265"/>
      <c r="CM74" s="267"/>
      <c r="CN74" s="267"/>
      <c r="CO74" s="271"/>
    </row>
    <row r="75" spans="79:93" ht="15">
      <c r="CA75" s="175"/>
      <c r="CB75" s="175"/>
      <c r="CC75" s="175"/>
      <c r="CD75" s="261"/>
      <c r="CE75" s="261"/>
      <c r="CF75" s="261"/>
      <c r="CG75" s="263"/>
      <c r="CH75" s="263"/>
      <c r="CI75" s="263"/>
      <c r="CJ75" s="265"/>
      <c r="CK75" s="265"/>
      <c r="CL75" s="265"/>
      <c r="CM75" s="267"/>
      <c r="CN75" s="267"/>
      <c r="CO75" s="271"/>
    </row>
    <row r="76" spans="79:93" ht="15">
      <c r="CA76" s="175"/>
      <c r="CB76" s="175"/>
      <c r="CC76" s="175"/>
      <c r="CD76" s="261"/>
      <c r="CE76" s="261"/>
      <c r="CF76" s="261"/>
      <c r="CG76" s="263"/>
      <c r="CH76" s="263"/>
      <c r="CI76" s="263"/>
      <c r="CJ76" s="265"/>
      <c r="CK76" s="265"/>
      <c r="CL76" s="265"/>
      <c r="CM76" s="267"/>
      <c r="CN76" s="267"/>
      <c r="CO76" s="271"/>
    </row>
    <row r="77" spans="79:93" ht="15">
      <c r="CA77" s="175"/>
      <c r="CB77" s="175"/>
      <c r="CC77" s="175"/>
      <c r="CD77" s="261"/>
      <c r="CE77" s="261"/>
      <c r="CF77" s="261"/>
      <c r="CG77" s="263"/>
      <c r="CH77" s="263"/>
      <c r="CI77" s="263"/>
      <c r="CJ77" s="265"/>
      <c r="CK77" s="265"/>
      <c r="CL77" s="265"/>
      <c r="CM77" s="267"/>
      <c r="CN77" s="267"/>
      <c r="CO77" s="271"/>
    </row>
    <row r="78" spans="79:93" ht="15">
      <c r="CA78" s="175"/>
      <c r="CB78" s="175"/>
      <c r="CC78" s="175"/>
      <c r="CD78" s="261"/>
      <c r="CE78" s="261"/>
      <c r="CF78" s="261"/>
      <c r="CG78" s="263"/>
      <c r="CH78" s="263"/>
      <c r="CI78" s="263"/>
      <c r="CJ78" s="265"/>
      <c r="CK78" s="265"/>
      <c r="CL78" s="265"/>
      <c r="CM78" s="267"/>
      <c r="CN78" s="267"/>
      <c r="CO78" s="271"/>
    </row>
    <row r="79" spans="79:93" ht="15">
      <c r="CA79" s="175"/>
      <c r="CB79" s="175"/>
      <c r="CC79" s="175"/>
      <c r="CD79" s="261"/>
      <c r="CE79" s="261"/>
      <c r="CF79" s="261"/>
      <c r="CG79" s="263"/>
      <c r="CH79" s="263"/>
      <c r="CI79" s="263"/>
      <c r="CJ79" s="265"/>
      <c r="CK79" s="265"/>
      <c r="CL79" s="265"/>
      <c r="CM79" s="267"/>
      <c r="CN79" s="267"/>
      <c r="CO79" s="271"/>
    </row>
    <row r="80" spans="79:93" ht="15">
      <c r="CA80" s="175"/>
      <c r="CB80" s="175"/>
      <c r="CC80" s="175"/>
      <c r="CD80" s="261"/>
      <c r="CE80" s="261"/>
      <c r="CF80" s="261"/>
      <c r="CG80" s="263"/>
      <c r="CH80" s="263"/>
      <c r="CI80" s="263"/>
      <c r="CJ80" s="265"/>
      <c r="CK80" s="265"/>
      <c r="CL80" s="265"/>
      <c r="CM80" s="267"/>
      <c r="CN80" s="267"/>
      <c r="CO80" s="271"/>
    </row>
    <row r="81" spans="79:93" ht="15">
      <c r="CA81" s="175"/>
      <c r="CB81" s="175"/>
      <c r="CC81" s="175"/>
      <c r="CD81" s="261"/>
      <c r="CE81" s="261"/>
      <c r="CF81" s="261"/>
      <c r="CG81" s="263"/>
      <c r="CH81" s="263"/>
      <c r="CI81" s="263"/>
      <c r="CJ81" s="265"/>
      <c r="CK81" s="265"/>
      <c r="CL81" s="265"/>
      <c r="CM81" s="267"/>
      <c r="CN81" s="267"/>
      <c r="CO81" s="271"/>
    </row>
    <row r="82" spans="79:93" ht="15">
      <c r="CA82" s="175"/>
      <c r="CB82" s="175"/>
      <c r="CC82" s="175"/>
      <c r="CD82" s="261"/>
      <c r="CE82" s="261"/>
      <c r="CF82" s="261"/>
      <c r="CG82" s="263"/>
      <c r="CH82" s="263"/>
      <c r="CI82" s="263"/>
      <c r="CJ82" s="265"/>
      <c r="CK82" s="265"/>
      <c r="CL82" s="265"/>
      <c r="CM82" s="267"/>
      <c r="CN82" s="267"/>
      <c r="CO82" s="271"/>
    </row>
    <row r="83" spans="79:93" ht="15">
      <c r="CA83" s="175"/>
      <c r="CB83" s="175"/>
      <c r="CC83" s="175"/>
      <c r="CD83" s="261"/>
      <c r="CE83" s="261"/>
      <c r="CF83" s="261"/>
      <c r="CG83" s="263"/>
      <c r="CH83" s="263"/>
      <c r="CI83" s="263"/>
      <c r="CJ83" s="265"/>
      <c r="CK83" s="265"/>
      <c r="CL83" s="265"/>
      <c r="CM83" s="267"/>
      <c r="CN83" s="267"/>
      <c r="CO83" s="271"/>
    </row>
    <row r="84" spans="79:93" ht="15">
      <c r="CA84" s="175"/>
      <c r="CB84" s="175"/>
      <c r="CC84" s="175"/>
      <c r="CD84" s="261"/>
      <c r="CE84" s="261"/>
      <c r="CF84" s="261"/>
      <c r="CG84" s="263"/>
      <c r="CH84" s="263"/>
      <c r="CI84" s="263"/>
      <c r="CJ84" s="265"/>
      <c r="CK84" s="265"/>
      <c r="CL84" s="265"/>
      <c r="CM84" s="267"/>
      <c r="CN84" s="267"/>
      <c r="CO84" s="271"/>
    </row>
    <row r="85" spans="79:93" ht="15">
      <c r="CA85" s="175"/>
      <c r="CB85" s="175"/>
      <c r="CC85" s="175"/>
      <c r="CD85" s="261"/>
      <c r="CE85" s="261"/>
      <c r="CF85" s="261"/>
      <c r="CG85" s="263"/>
      <c r="CH85" s="263"/>
      <c r="CI85" s="263"/>
      <c r="CJ85" s="265"/>
      <c r="CK85" s="265"/>
      <c r="CL85" s="265"/>
      <c r="CM85" s="267"/>
      <c r="CN85" s="267"/>
      <c r="CO85" s="271"/>
    </row>
    <row r="86" spans="79:93" ht="15">
      <c r="CA86" s="175"/>
      <c r="CB86" s="175"/>
      <c r="CC86" s="175"/>
      <c r="CD86" s="261"/>
      <c r="CE86" s="261"/>
      <c r="CF86" s="261"/>
      <c r="CG86" s="263"/>
      <c r="CH86" s="263"/>
      <c r="CI86" s="263"/>
      <c r="CJ86" s="265"/>
      <c r="CK86" s="265"/>
      <c r="CL86" s="265"/>
      <c r="CM86" s="267"/>
      <c r="CN86" s="267"/>
      <c r="CO86" s="271"/>
    </row>
    <row r="87" spans="79:93" ht="15">
      <c r="CA87" s="175"/>
      <c r="CB87" s="175"/>
      <c r="CC87" s="175"/>
      <c r="CD87" s="261"/>
      <c r="CE87" s="261"/>
      <c r="CF87" s="261"/>
      <c r="CG87" s="263"/>
      <c r="CH87" s="263"/>
      <c r="CI87" s="263"/>
      <c r="CJ87" s="265"/>
      <c r="CK87" s="265"/>
      <c r="CL87" s="265"/>
      <c r="CM87" s="267"/>
      <c r="CN87" s="267"/>
      <c r="CO87" s="271"/>
    </row>
    <row r="88" spans="79:93" ht="15">
      <c r="CA88" s="175"/>
      <c r="CB88" s="175"/>
      <c r="CC88" s="175"/>
      <c r="CD88" s="261"/>
      <c r="CE88" s="261"/>
      <c r="CF88" s="261"/>
      <c r="CG88" s="263"/>
      <c r="CH88" s="263"/>
      <c r="CI88" s="263"/>
      <c r="CJ88" s="265"/>
      <c r="CK88" s="265"/>
      <c r="CL88" s="265"/>
      <c r="CM88" s="267"/>
      <c r="CN88" s="267"/>
      <c r="CO88" s="271"/>
    </row>
    <row r="89" spans="79:93" ht="15">
      <c r="CA89" s="175"/>
      <c r="CB89" s="175"/>
      <c r="CC89" s="175"/>
      <c r="CD89" s="261"/>
      <c r="CE89" s="261"/>
      <c r="CF89" s="261"/>
      <c r="CG89" s="263"/>
      <c r="CH89" s="263"/>
      <c r="CI89" s="263"/>
      <c r="CJ89" s="265"/>
      <c r="CK89" s="265"/>
      <c r="CL89" s="265"/>
      <c r="CM89" s="267"/>
      <c r="CN89" s="267"/>
      <c r="CO89" s="271"/>
    </row>
    <row r="90" spans="79:93" ht="15">
      <c r="CA90" s="175"/>
      <c r="CB90" s="175"/>
      <c r="CC90" s="175"/>
      <c r="CD90" s="261"/>
      <c r="CE90" s="261"/>
      <c r="CF90" s="261"/>
      <c r="CG90" s="263"/>
      <c r="CH90" s="263"/>
      <c r="CI90" s="263"/>
      <c r="CJ90" s="265"/>
      <c r="CK90" s="265"/>
      <c r="CL90" s="265"/>
      <c r="CM90" s="267"/>
      <c r="CN90" s="267"/>
      <c r="CO90" s="271"/>
    </row>
    <row r="91" spans="79:93" ht="15">
      <c r="CA91" s="175"/>
      <c r="CB91" s="175"/>
      <c r="CC91" s="175"/>
      <c r="CD91" s="261"/>
      <c r="CE91" s="261"/>
      <c r="CF91" s="261"/>
      <c r="CG91" s="263"/>
      <c r="CH91" s="263"/>
      <c r="CI91" s="263"/>
      <c r="CJ91" s="265"/>
      <c r="CK91" s="265"/>
      <c r="CL91" s="265"/>
      <c r="CM91" s="267"/>
      <c r="CN91" s="267"/>
      <c r="CO91" s="271"/>
    </row>
    <row r="92" spans="79:93" ht="15">
      <c r="CA92" s="175"/>
      <c r="CB92" s="175"/>
      <c r="CC92" s="175"/>
      <c r="CD92" s="261"/>
      <c r="CE92" s="261"/>
      <c r="CF92" s="261"/>
      <c r="CG92" s="263"/>
      <c r="CH92" s="263"/>
      <c r="CI92" s="263"/>
      <c r="CJ92" s="265"/>
      <c r="CK92" s="265"/>
      <c r="CL92" s="265"/>
      <c r="CM92" s="267"/>
      <c r="CN92" s="267"/>
      <c r="CO92" s="271"/>
    </row>
    <row r="93" spans="79:93" ht="15">
      <c r="CA93" s="175"/>
      <c r="CB93" s="175"/>
      <c r="CC93" s="175"/>
      <c r="CD93" s="261"/>
      <c r="CE93" s="261"/>
      <c r="CF93" s="261"/>
      <c r="CG93" s="263"/>
      <c r="CH93" s="263"/>
      <c r="CI93" s="263"/>
      <c r="CJ93" s="265"/>
      <c r="CK93" s="265"/>
      <c r="CL93" s="265"/>
      <c r="CM93" s="267"/>
      <c r="CN93" s="267"/>
      <c r="CO93" s="271"/>
    </row>
    <row r="94" spans="79:93" ht="15">
      <c r="CA94" s="175"/>
      <c r="CB94" s="175"/>
      <c r="CC94" s="175"/>
      <c r="CD94" s="261"/>
      <c r="CE94" s="261"/>
      <c r="CF94" s="261"/>
      <c r="CG94" s="263"/>
      <c r="CH94" s="263"/>
      <c r="CI94" s="263"/>
      <c r="CJ94" s="265"/>
      <c r="CK94" s="265"/>
      <c r="CL94" s="265"/>
      <c r="CM94" s="267"/>
      <c r="CN94" s="267"/>
      <c r="CO94" s="271"/>
    </row>
    <row r="95" spans="79:93" ht="15">
      <c r="CA95" s="175"/>
      <c r="CB95" s="175"/>
      <c r="CC95" s="175"/>
      <c r="CD95" s="261"/>
      <c r="CE95" s="261"/>
      <c r="CF95" s="261"/>
      <c r="CG95" s="263"/>
      <c r="CH95" s="263"/>
      <c r="CI95" s="263"/>
      <c r="CJ95" s="265"/>
      <c r="CK95" s="265"/>
      <c r="CL95" s="265"/>
      <c r="CM95" s="267"/>
      <c r="CN95" s="267"/>
      <c r="CO95" s="271"/>
    </row>
    <row r="96" spans="79:93" ht="15">
      <c r="CA96" s="175"/>
      <c r="CB96" s="175"/>
      <c r="CC96" s="175"/>
      <c r="CD96" s="261"/>
      <c r="CE96" s="261"/>
      <c r="CF96" s="261"/>
      <c r="CG96" s="263"/>
      <c r="CH96" s="263"/>
      <c r="CI96" s="263"/>
      <c r="CJ96" s="265"/>
      <c r="CK96" s="265"/>
      <c r="CL96" s="265"/>
      <c r="CM96" s="267"/>
      <c r="CN96" s="267"/>
      <c r="CO96" s="271"/>
    </row>
    <row r="97" spans="79:93" ht="15">
      <c r="CA97" s="175"/>
      <c r="CB97" s="175"/>
      <c r="CC97" s="175"/>
      <c r="CD97" s="261"/>
      <c r="CE97" s="261"/>
      <c r="CF97" s="261"/>
      <c r="CG97" s="263"/>
      <c r="CH97" s="263"/>
      <c r="CI97" s="263"/>
      <c r="CJ97" s="265"/>
      <c r="CK97" s="265"/>
      <c r="CL97" s="265"/>
      <c r="CM97" s="267"/>
      <c r="CN97" s="267"/>
      <c r="CO97" s="271"/>
    </row>
    <row r="98" spans="79:93" ht="15">
      <c r="CA98" s="175"/>
      <c r="CB98" s="175"/>
      <c r="CC98" s="175"/>
      <c r="CD98" s="261"/>
      <c r="CE98" s="261"/>
      <c r="CF98" s="261"/>
      <c r="CG98" s="263"/>
      <c r="CH98" s="263"/>
      <c r="CI98" s="263"/>
      <c r="CJ98" s="265"/>
      <c r="CK98" s="265"/>
      <c r="CL98" s="265"/>
      <c r="CM98" s="267"/>
      <c r="CN98" s="267"/>
      <c r="CO98" s="271"/>
    </row>
    <row r="99" spans="79:93" ht="15">
      <c r="CA99" s="175"/>
      <c r="CB99" s="175"/>
      <c r="CC99" s="175"/>
      <c r="CD99" s="261"/>
      <c r="CE99" s="261"/>
      <c r="CF99" s="261"/>
      <c r="CG99" s="263"/>
      <c r="CH99" s="263"/>
      <c r="CI99" s="263"/>
      <c r="CJ99" s="265"/>
      <c r="CK99" s="265"/>
      <c r="CL99" s="265"/>
      <c r="CM99" s="267"/>
      <c r="CN99" s="267"/>
      <c r="CO99" s="271"/>
    </row>
    <row r="100" spans="79:93" ht="15">
      <c r="CA100" s="175"/>
      <c r="CB100" s="175"/>
      <c r="CC100" s="175"/>
      <c r="CD100" s="261"/>
      <c r="CE100" s="261"/>
      <c r="CF100" s="261"/>
      <c r="CG100" s="263"/>
      <c r="CH100" s="263"/>
      <c r="CI100" s="263"/>
      <c r="CJ100" s="265"/>
      <c r="CK100" s="265"/>
      <c r="CL100" s="265"/>
      <c r="CM100" s="267"/>
      <c r="CN100" s="267"/>
      <c r="CO100" s="271"/>
    </row>
    <row r="101" spans="79:93" ht="15">
      <c r="CA101" s="175"/>
      <c r="CB101" s="175"/>
      <c r="CC101" s="175"/>
      <c r="CD101" s="261"/>
      <c r="CE101" s="261"/>
      <c r="CF101" s="261"/>
      <c r="CG101" s="263"/>
      <c r="CH101" s="263"/>
      <c r="CI101" s="263"/>
      <c r="CJ101" s="265"/>
      <c r="CK101" s="265"/>
      <c r="CL101" s="265"/>
      <c r="CM101" s="267"/>
      <c r="CN101" s="267"/>
      <c r="CO101" s="271"/>
    </row>
    <row r="102" spans="79:93" ht="15">
      <c r="CA102" s="175"/>
      <c r="CB102" s="175"/>
      <c r="CC102" s="175"/>
      <c r="CD102" s="261"/>
      <c r="CE102" s="261"/>
      <c r="CF102" s="261"/>
      <c r="CG102" s="263"/>
      <c r="CH102" s="263"/>
      <c r="CI102" s="263"/>
      <c r="CJ102" s="265"/>
      <c r="CK102" s="265"/>
      <c r="CL102" s="265"/>
      <c r="CM102" s="267"/>
      <c r="CN102" s="267"/>
      <c r="CO102" s="271"/>
    </row>
    <row r="103" spans="79:93" ht="15">
      <c r="CA103" s="175"/>
      <c r="CB103" s="175"/>
      <c r="CC103" s="175"/>
      <c r="CD103" s="261"/>
      <c r="CE103" s="261"/>
      <c r="CF103" s="261"/>
      <c r="CG103" s="263"/>
      <c r="CH103" s="263"/>
      <c r="CI103" s="263"/>
      <c r="CJ103" s="265"/>
      <c r="CK103" s="265"/>
      <c r="CL103" s="265"/>
      <c r="CM103" s="267"/>
      <c r="CN103" s="267"/>
      <c r="CO103" s="271"/>
    </row>
    <row r="104" spans="79:93" ht="15">
      <c r="CA104" s="175"/>
      <c r="CB104" s="175"/>
      <c r="CC104" s="175"/>
      <c r="CD104" s="261"/>
      <c r="CE104" s="261"/>
      <c r="CF104" s="261"/>
      <c r="CG104" s="263"/>
      <c r="CH104" s="263"/>
      <c r="CI104" s="263"/>
      <c r="CJ104" s="265"/>
      <c r="CK104" s="265"/>
      <c r="CL104" s="265"/>
      <c r="CM104" s="267"/>
      <c r="CN104" s="267"/>
      <c r="CO104" s="271"/>
    </row>
    <row r="105" spans="79:93" ht="15">
      <c r="CA105" s="175"/>
      <c r="CB105" s="175"/>
      <c r="CC105" s="175"/>
      <c r="CD105" s="261"/>
      <c r="CE105" s="261"/>
      <c r="CF105" s="261"/>
      <c r="CG105" s="263"/>
      <c r="CH105" s="263"/>
      <c r="CI105" s="263"/>
      <c r="CJ105" s="265"/>
      <c r="CK105" s="265"/>
      <c r="CL105" s="265"/>
      <c r="CM105" s="267"/>
      <c r="CN105" s="267"/>
      <c r="CO105" s="271"/>
    </row>
    <row r="106" spans="79:93" ht="15">
      <c r="CA106" s="175"/>
      <c r="CB106" s="175"/>
      <c r="CC106" s="175"/>
      <c r="CD106" s="261"/>
      <c r="CE106" s="261"/>
      <c r="CF106" s="261"/>
      <c r="CG106" s="263"/>
      <c r="CH106" s="263"/>
      <c r="CI106" s="263"/>
      <c r="CJ106" s="265"/>
      <c r="CK106" s="265"/>
      <c r="CL106" s="265"/>
      <c r="CM106" s="267"/>
      <c r="CN106" s="267"/>
      <c r="CO106" s="271"/>
    </row>
    <row r="107" spans="79:93" ht="15">
      <c r="CA107" s="175"/>
      <c r="CB107" s="175"/>
      <c r="CC107" s="175"/>
      <c r="CD107" s="261"/>
      <c r="CE107" s="261"/>
      <c r="CF107" s="261"/>
      <c r="CG107" s="263"/>
      <c r="CH107" s="263"/>
      <c r="CI107" s="263"/>
      <c r="CJ107" s="265"/>
      <c r="CK107" s="265"/>
      <c r="CL107" s="265"/>
      <c r="CM107" s="267"/>
      <c r="CN107" s="267"/>
      <c r="CO107" s="271"/>
    </row>
    <row r="108" spans="79:93" ht="15">
      <c r="CA108" s="175"/>
      <c r="CB108" s="175"/>
      <c r="CC108" s="175"/>
      <c r="CD108" s="261"/>
      <c r="CE108" s="261"/>
      <c r="CF108" s="261"/>
      <c r="CG108" s="263"/>
      <c r="CH108" s="263"/>
      <c r="CI108" s="263"/>
      <c r="CJ108" s="265"/>
      <c r="CK108" s="265"/>
      <c r="CL108" s="265"/>
      <c r="CM108" s="267"/>
      <c r="CN108" s="267"/>
      <c r="CO108" s="271"/>
    </row>
    <row r="109" spans="79:93" ht="15">
      <c r="CA109" s="175"/>
      <c r="CB109" s="175"/>
      <c r="CC109" s="175"/>
      <c r="CD109" s="261"/>
      <c r="CE109" s="261"/>
      <c r="CF109" s="261"/>
      <c r="CG109" s="263"/>
      <c r="CH109" s="263"/>
      <c r="CI109" s="263"/>
      <c r="CJ109" s="265"/>
      <c r="CK109" s="265"/>
      <c r="CL109" s="265"/>
      <c r="CM109" s="267"/>
      <c r="CN109" s="267"/>
      <c r="CO109" s="271"/>
    </row>
    <row r="110" spans="79:93" ht="15">
      <c r="CA110" s="175"/>
      <c r="CB110" s="175"/>
      <c r="CC110" s="175"/>
      <c r="CD110" s="261"/>
      <c r="CE110" s="261"/>
      <c r="CF110" s="261"/>
      <c r="CG110" s="263"/>
      <c r="CH110" s="263"/>
      <c r="CI110" s="263"/>
      <c r="CJ110" s="265"/>
      <c r="CK110" s="265"/>
      <c r="CL110" s="265"/>
      <c r="CM110" s="267"/>
      <c r="CN110" s="267"/>
      <c r="CO110" s="271"/>
    </row>
    <row r="111" spans="79:93" ht="15">
      <c r="CA111" s="175"/>
      <c r="CB111" s="175"/>
      <c r="CC111" s="175"/>
      <c r="CD111" s="261"/>
      <c r="CE111" s="261"/>
      <c r="CF111" s="261"/>
      <c r="CG111" s="263"/>
      <c r="CH111" s="263"/>
      <c r="CI111" s="263"/>
      <c r="CJ111" s="265"/>
      <c r="CK111" s="265"/>
      <c r="CL111" s="265"/>
      <c r="CM111" s="267"/>
      <c r="CN111" s="267"/>
      <c r="CO111" s="271"/>
    </row>
    <row r="112" spans="79:93" ht="15">
      <c r="CA112" s="175"/>
      <c r="CB112" s="175"/>
      <c r="CC112" s="175"/>
      <c r="CD112" s="261"/>
      <c r="CE112" s="261"/>
      <c r="CF112" s="261"/>
      <c r="CG112" s="263"/>
      <c r="CH112" s="263"/>
      <c r="CI112" s="263"/>
      <c r="CJ112" s="265"/>
      <c r="CK112" s="265"/>
      <c r="CL112" s="265"/>
      <c r="CM112" s="267"/>
      <c r="CN112" s="267"/>
      <c r="CO112" s="271"/>
    </row>
    <row r="113" spans="79:93" ht="15">
      <c r="CA113" s="175"/>
      <c r="CB113" s="175"/>
      <c r="CC113" s="175"/>
      <c r="CD113" s="261"/>
      <c r="CE113" s="261"/>
      <c r="CF113" s="261"/>
      <c r="CG113" s="263"/>
      <c r="CH113" s="263"/>
      <c r="CI113" s="263"/>
      <c r="CJ113" s="265"/>
      <c r="CK113" s="265"/>
      <c r="CL113" s="265"/>
      <c r="CM113" s="267"/>
      <c r="CN113" s="267"/>
      <c r="CO113" s="271"/>
    </row>
    <row r="114" spans="79:93" ht="15">
      <c r="CA114" s="175"/>
      <c r="CB114" s="175"/>
      <c r="CC114" s="175"/>
      <c r="CD114" s="261"/>
      <c r="CE114" s="261"/>
      <c r="CF114" s="261"/>
      <c r="CG114" s="263"/>
      <c r="CH114" s="263"/>
      <c r="CI114" s="263"/>
      <c r="CJ114" s="265"/>
      <c r="CK114" s="265"/>
      <c r="CL114" s="265"/>
      <c r="CM114" s="267"/>
      <c r="CN114" s="267"/>
      <c r="CO114" s="271"/>
    </row>
    <row r="115" spans="79:93" ht="15">
      <c r="CA115" s="175"/>
      <c r="CB115" s="175"/>
      <c r="CC115" s="175"/>
      <c r="CD115" s="261"/>
      <c r="CE115" s="261"/>
      <c r="CF115" s="261"/>
      <c r="CG115" s="263"/>
      <c r="CH115" s="263"/>
      <c r="CI115" s="263"/>
      <c r="CJ115" s="265"/>
      <c r="CK115" s="265"/>
      <c r="CL115" s="265"/>
      <c r="CM115" s="267"/>
      <c r="CN115" s="267"/>
      <c r="CO115" s="271"/>
    </row>
    <row r="116" spans="79:93" ht="15">
      <c r="CA116" s="175"/>
      <c r="CB116" s="175"/>
      <c r="CC116" s="175"/>
      <c r="CD116" s="261"/>
      <c r="CE116" s="261"/>
      <c r="CF116" s="261"/>
      <c r="CG116" s="263"/>
      <c r="CH116" s="263"/>
      <c r="CI116" s="263"/>
      <c r="CJ116" s="265"/>
      <c r="CK116" s="265"/>
      <c r="CL116" s="265"/>
      <c r="CM116" s="267"/>
      <c r="CN116" s="267"/>
      <c r="CO116" s="271"/>
    </row>
    <row r="117" spans="79:93" ht="15">
      <c r="CA117" s="175"/>
      <c r="CB117" s="175"/>
      <c r="CC117" s="175"/>
      <c r="CD117" s="261"/>
      <c r="CE117" s="261"/>
      <c r="CF117" s="261"/>
      <c r="CG117" s="263"/>
      <c r="CH117" s="263"/>
      <c r="CI117" s="263"/>
      <c r="CJ117" s="265"/>
      <c r="CK117" s="265"/>
      <c r="CL117" s="265"/>
      <c r="CM117" s="267"/>
      <c r="CN117" s="267"/>
      <c r="CO117" s="271"/>
    </row>
    <row r="118" spans="79:93" ht="15">
      <c r="CA118" s="175"/>
      <c r="CB118" s="175"/>
      <c r="CC118" s="175"/>
      <c r="CD118" s="261"/>
      <c r="CE118" s="261"/>
      <c r="CF118" s="261"/>
      <c r="CG118" s="263"/>
      <c r="CH118" s="263"/>
      <c r="CI118" s="263"/>
      <c r="CJ118" s="265"/>
      <c r="CK118" s="265"/>
      <c r="CL118" s="265"/>
      <c r="CM118" s="267"/>
      <c r="CN118" s="267"/>
      <c r="CO118" s="271"/>
    </row>
    <row r="119" spans="79:93" ht="15">
      <c r="CA119" s="175"/>
      <c r="CB119" s="175"/>
      <c r="CC119" s="175"/>
      <c r="CD119" s="261"/>
      <c r="CE119" s="261"/>
      <c r="CF119" s="261"/>
      <c r="CG119" s="263"/>
      <c r="CH119" s="263"/>
      <c r="CI119" s="263"/>
      <c r="CJ119" s="265"/>
      <c r="CK119" s="265"/>
      <c r="CL119" s="265"/>
      <c r="CM119" s="267"/>
      <c r="CN119" s="267"/>
      <c r="CO119" s="271"/>
    </row>
    <row r="120" spans="79:93" ht="15">
      <c r="CA120" s="175"/>
      <c r="CB120" s="175"/>
      <c r="CC120" s="175"/>
      <c r="CD120" s="261"/>
      <c r="CE120" s="261"/>
      <c r="CF120" s="261"/>
      <c r="CG120" s="263"/>
      <c r="CH120" s="263"/>
      <c r="CI120" s="263"/>
      <c r="CJ120" s="265"/>
      <c r="CK120" s="265"/>
      <c r="CL120" s="265"/>
      <c r="CM120" s="267"/>
      <c r="CN120" s="267"/>
      <c r="CO120" s="271"/>
    </row>
    <row r="121" spans="79:93" ht="15">
      <c r="CA121" s="175"/>
      <c r="CB121" s="175"/>
      <c r="CC121" s="175"/>
      <c r="CD121" s="261"/>
      <c r="CE121" s="261"/>
      <c r="CF121" s="261"/>
      <c r="CG121" s="263"/>
      <c r="CH121" s="263"/>
      <c r="CI121" s="263"/>
      <c r="CJ121" s="265"/>
      <c r="CK121" s="265"/>
      <c r="CL121" s="265"/>
      <c r="CM121" s="267"/>
      <c r="CN121" s="267"/>
      <c r="CO121" s="271"/>
    </row>
    <row r="122" spans="79:93" ht="15">
      <c r="CA122" s="175"/>
      <c r="CB122" s="175"/>
      <c r="CC122" s="175"/>
      <c r="CD122" s="261"/>
      <c r="CE122" s="261"/>
      <c r="CF122" s="261"/>
      <c r="CG122" s="263"/>
      <c r="CH122" s="263"/>
      <c r="CI122" s="263"/>
      <c r="CJ122" s="265"/>
      <c r="CK122" s="265"/>
      <c r="CL122" s="265"/>
      <c r="CM122" s="267"/>
      <c r="CN122" s="267"/>
      <c r="CO122" s="271"/>
    </row>
    <row r="123" spans="79:93" ht="15">
      <c r="CA123" s="175"/>
      <c r="CB123" s="175"/>
      <c r="CC123" s="175"/>
      <c r="CD123" s="261"/>
      <c r="CE123" s="261"/>
      <c r="CF123" s="261"/>
      <c r="CG123" s="263"/>
      <c r="CH123" s="263"/>
      <c r="CI123" s="263"/>
      <c r="CJ123" s="265"/>
      <c r="CK123" s="265"/>
      <c r="CL123" s="265"/>
      <c r="CM123" s="267"/>
      <c r="CN123" s="267"/>
      <c r="CO123" s="271"/>
    </row>
    <row r="124" spans="79:93" ht="15">
      <c r="CA124" s="175"/>
      <c r="CB124" s="175"/>
      <c r="CC124" s="175"/>
      <c r="CD124" s="261"/>
      <c r="CE124" s="261"/>
      <c r="CF124" s="261"/>
      <c r="CG124" s="263"/>
      <c r="CH124" s="263"/>
      <c r="CI124" s="263"/>
      <c r="CJ124" s="265"/>
      <c r="CK124" s="265"/>
      <c r="CL124" s="265"/>
      <c r="CM124" s="267"/>
      <c r="CN124" s="267"/>
      <c r="CO124" s="271"/>
    </row>
    <row r="125" spans="79:93" ht="15">
      <c r="CA125" s="175"/>
      <c r="CB125" s="175"/>
      <c r="CC125" s="175"/>
      <c r="CD125" s="261"/>
      <c r="CE125" s="261"/>
      <c r="CF125" s="261"/>
      <c r="CG125" s="263"/>
      <c r="CH125" s="263"/>
      <c r="CI125" s="263"/>
      <c r="CJ125" s="265"/>
      <c r="CK125" s="265"/>
      <c r="CL125" s="265"/>
      <c r="CM125" s="267"/>
      <c r="CN125" s="267"/>
      <c r="CO125" s="271"/>
    </row>
    <row r="126" spans="79:93" ht="15">
      <c r="CA126" s="175"/>
      <c r="CB126" s="175"/>
      <c r="CC126" s="175"/>
      <c r="CD126" s="261"/>
      <c r="CE126" s="261"/>
      <c r="CF126" s="261"/>
      <c r="CG126" s="263"/>
      <c r="CH126" s="263"/>
      <c r="CI126" s="263"/>
      <c r="CJ126" s="265"/>
      <c r="CK126" s="265"/>
      <c r="CL126" s="265"/>
      <c r="CM126" s="267"/>
      <c r="CN126" s="267"/>
      <c r="CO126" s="271"/>
    </row>
    <row r="127" spans="79:93" ht="15">
      <c r="CA127" s="175"/>
      <c r="CB127" s="175"/>
      <c r="CC127" s="175"/>
      <c r="CD127" s="261"/>
      <c r="CE127" s="261"/>
      <c r="CF127" s="261"/>
      <c r="CG127" s="263"/>
      <c r="CH127" s="263"/>
      <c r="CI127" s="263"/>
      <c r="CJ127" s="265"/>
      <c r="CK127" s="265"/>
      <c r="CL127" s="265"/>
      <c r="CM127" s="267"/>
      <c r="CN127" s="267"/>
      <c r="CO127" s="271"/>
    </row>
    <row r="128" spans="79:93" ht="15">
      <c r="CA128" s="175"/>
      <c r="CB128" s="175"/>
      <c r="CC128" s="175"/>
      <c r="CD128" s="261"/>
      <c r="CE128" s="261"/>
      <c r="CF128" s="261"/>
      <c r="CG128" s="263"/>
      <c r="CH128" s="263"/>
      <c r="CI128" s="263"/>
      <c r="CJ128" s="265"/>
      <c r="CK128" s="265"/>
      <c r="CL128" s="265"/>
      <c r="CM128" s="267"/>
      <c r="CN128" s="267"/>
      <c r="CO128" s="271"/>
    </row>
    <row r="129" spans="79:93" ht="15">
      <c r="CA129" s="175"/>
      <c r="CB129" s="175"/>
      <c r="CC129" s="175"/>
      <c r="CD129" s="261"/>
      <c r="CE129" s="261"/>
      <c r="CF129" s="261"/>
      <c r="CG129" s="263"/>
      <c r="CH129" s="263"/>
      <c r="CI129" s="263"/>
      <c r="CJ129" s="265"/>
      <c r="CK129" s="265"/>
      <c r="CL129" s="265"/>
      <c r="CM129" s="267"/>
      <c r="CN129" s="267"/>
      <c r="CO129" s="271"/>
    </row>
    <row r="130" spans="79:93" ht="15">
      <c r="CA130" s="175"/>
      <c r="CB130" s="175"/>
      <c r="CC130" s="175"/>
      <c r="CD130" s="261"/>
      <c r="CE130" s="261"/>
      <c r="CF130" s="261"/>
      <c r="CG130" s="263"/>
      <c r="CH130" s="263"/>
      <c r="CI130" s="263"/>
      <c r="CJ130" s="265"/>
      <c r="CK130" s="265"/>
      <c r="CL130" s="265"/>
      <c r="CM130" s="267"/>
      <c r="CN130" s="267"/>
      <c r="CO130" s="271"/>
    </row>
    <row r="131" spans="79:93" ht="15">
      <c r="CA131" s="175"/>
      <c r="CB131" s="175"/>
      <c r="CC131" s="175"/>
      <c r="CD131" s="261"/>
      <c r="CE131" s="261"/>
      <c r="CF131" s="261"/>
      <c r="CG131" s="263"/>
      <c r="CH131" s="263"/>
      <c r="CI131" s="263"/>
      <c r="CJ131" s="265"/>
      <c r="CK131" s="265"/>
      <c r="CL131" s="265"/>
      <c r="CM131" s="267"/>
      <c r="CN131" s="267"/>
      <c r="CO131" s="271"/>
    </row>
    <row r="132" spans="79:93" ht="15">
      <c r="CA132" s="175"/>
      <c r="CB132" s="175"/>
      <c r="CC132" s="175"/>
      <c r="CD132" s="261"/>
      <c r="CE132" s="261"/>
      <c r="CF132" s="261"/>
      <c r="CG132" s="263"/>
      <c r="CH132" s="263"/>
      <c r="CI132" s="263"/>
      <c r="CJ132" s="265"/>
      <c r="CK132" s="265"/>
      <c r="CL132" s="265"/>
      <c r="CM132" s="267"/>
      <c r="CN132" s="267"/>
      <c r="CO132" s="271"/>
    </row>
    <row r="133" spans="79:93" ht="15">
      <c r="CA133" s="175"/>
      <c r="CB133" s="175"/>
      <c r="CC133" s="175"/>
      <c r="CD133" s="261"/>
      <c r="CE133" s="261"/>
      <c r="CF133" s="261"/>
      <c r="CG133" s="263"/>
      <c r="CH133" s="263"/>
      <c r="CI133" s="263"/>
      <c r="CJ133" s="265"/>
      <c r="CK133" s="265"/>
      <c r="CL133" s="265"/>
      <c r="CM133" s="267"/>
      <c r="CN133" s="267"/>
      <c r="CO133" s="271"/>
    </row>
    <row r="134" spans="79:93" ht="15">
      <c r="CA134" s="175"/>
      <c r="CB134" s="175"/>
      <c r="CC134" s="175"/>
      <c r="CD134" s="261"/>
      <c r="CE134" s="261"/>
      <c r="CF134" s="261"/>
      <c r="CG134" s="263"/>
      <c r="CH134" s="263"/>
      <c r="CI134" s="263"/>
      <c r="CJ134" s="265"/>
      <c r="CK134" s="265"/>
      <c r="CL134" s="265"/>
      <c r="CM134" s="267"/>
      <c r="CN134" s="267"/>
      <c r="CO134" s="271"/>
    </row>
    <row r="135" spans="79:93" ht="15">
      <c r="CA135" s="175"/>
      <c r="CB135" s="175"/>
      <c r="CC135" s="175"/>
      <c r="CD135" s="261"/>
      <c r="CE135" s="261"/>
      <c r="CF135" s="261"/>
      <c r="CG135" s="263"/>
      <c r="CH135" s="263"/>
      <c r="CI135" s="263"/>
      <c r="CJ135" s="265"/>
      <c r="CK135" s="265"/>
      <c r="CL135" s="265"/>
      <c r="CM135" s="267"/>
      <c r="CN135" s="267"/>
      <c r="CO135" s="271"/>
    </row>
    <row r="136" spans="79:93" ht="15">
      <c r="CA136" s="175"/>
      <c r="CB136" s="175"/>
      <c r="CC136" s="175"/>
      <c r="CD136" s="261"/>
      <c r="CE136" s="261"/>
      <c r="CF136" s="261"/>
      <c r="CG136" s="263"/>
      <c r="CH136" s="263"/>
      <c r="CI136" s="263"/>
      <c r="CJ136" s="265"/>
      <c r="CK136" s="265"/>
      <c r="CL136" s="265"/>
      <c r="CM136" s="267"/>
      <c r="CN136" s="267"/>
      <c r="CO136" s="271"/>
    </row>
    <row r="137" spans="79:93" ht="15">
      <c r="CA137" s="175"/>
      <c r="CB137" s="175"/>
      <c r="CC137" s="175"/>
      <c r="CD137" s="261"/>
      <c r="CE137" s="261"/>
      <c r="CF137" s="261"/>
      <c r="CG137" s="263"/>
      <c r="CH137" s="263"/>
      <c r="CI137" s="263"/>
      <c r="CJ137" s="265"/>
      <c r="CK137" s="265"/>
      <c r="CL137" s="265"/>
      <c r="CM137" s="267"/>
      <c r="CN137" s="267"/>
      <c r="CO137" s="271"/>
    </row>
    <row r="138" spans="79:93" ht="15">
      <c r="CA138" s="175"/>
      <c r="CB138" s="175"/>
      <c r="CC138" s="175"/>
      <c r="CD138" s="261"/>
      <c r="CE138" s="261"/>
      <c r="CF138" s="261"/>
      <c r="CG138" s="263"/>
      <c r="CH138" s="263"/>
      <c r="CI138" s="263"/>
      <c r="CJ138" s="265"/>
      <c r="CK138" s="265"/>
      <c r="CL138" s="265"/>
      <c r="CM138" s="267"/>
      <c r="CN138" s="267"/>
      <c r="CO138" s="271"/>
    </row>
    <row r="139" spans="79:93" ht="15">
      <c r="CA139" s="175"/>
      <c r="CB139" s="175"/>
      <c r="CC139" s="175"/>
      <c r="CD139" s="261"/>
      <c r="CE139" s="261"/>
      <c r="CF139" s="261"/>
      <c r="CG139" s="263"/>
      <c r="CH139" s="263"/>
      <c r="CI139" s="263"/>
      <c r="CJ139" s="265"/>
      <c r="CK139" s="265"/>
      <c r="CL139" s="265"/>
      <c r="CM139" s="267"/>
      <c r="CN139" s="267"/>
      <c r="CO139" s="271"/>
    </row>
    <row r="140" spans="79:93" ht="15">
      <c r="CA140" s="175"/>
      <c r="CB140" s="175"/>
      <c r="CC140" s="175"/>
      <c r="CD140" s="261"/>
      <c r="CE140" s="261"/>
      <c r="CF140" s="261"/>
      <c r="CG140" s="263"/>
      <c r="CH140" s="263"/>
      <c r="CI140" s="263"/>
      <c r="CJ140" s="265"/>
      <c r="CK140" s="265"/>
      <c r="CL140" s="265"/>
      <c r="CM140" s="267"/>
      <c r="CN140" s="267"/>
      <c r="CO140" s="271"/>
    </row>
    <row r="141" spans="79:93" ht="15">
      <c r="CA141" s="175"/>
      <c r="CB141" s="175"/>
      <c r="CC141" s="175"/>
      <c r="CD141" s="261"/>
      <c r="CE141" s="261"/>
      <c r="CF141" s="261"/>
      <c r="CG141" s="263"/>
      <c r="CH141" s="263"/>
      <c r="CI141" s="263"/>
      <c r="CJ141" s="265"/>
      <c r="CK141" s="265"/>
      <c r="CL141" s="265"/>
      <c r="CM141" s="267"/>
      <c r="CN141" s="267"/>
      <c r="CO141" s="271"/>
    </row>
    <row r="142" spans="79:93" ht="15">
      <c r="CA142" s="175"/>
      <c r="CB142" s="175"/>
      <c r="CC142" s="175"/>
      <c r="CD142" s="261"/>
      <c r="CE142" s="261"/>
      <c r="CF142" s="261"/>
      <c r="CG142" s="263"/>
      <c r="CH142" s="263"/>
      <c r="CI142" s="263"/>
      <c r="CJ142" s="265"/>
      <c r="CK142" s="265"/>
      <c r="CL142" s="265"/>
      <c r="CM142" s="267"/>
      <c r="CN142" s="267"/>
      <c r="CO142" s="271"/>
    </row>
    <row r="143" spans="79:93" ht="15">
      <c r="CA143" s="175"/>
      <c r="CB143" s="175"/>
      <c r="CC143" s="175"/>
      <c r="CD143" s="261"/>
      <c r="CE143" s="261"/>
      <c r="CF143" s="261"/>
      <c r="CG143" s="263"/>
      <c r="CH143" s="263"/>
      <c r="CI143" s="263"/>
      <c r="CJ143" s="265"/>
      <c r="CK143" s="265"/>
      <c r="CL143" s="265"/>
      <c r="CM143" s="267"/>
      <c r="CN143" s="267"/>
      <c r="CO143" s="271"/>
    </row>
    <row r="144" spans="79:93" ht="15">
      <c r="CA144" s="175"/>
      <c r="CB144" s="175"/>
      <c r="CC144" s="175"/>
      <c r="CD144" s="261"/>
      <c r="CE144" s="261"/>
      <c r="CF144" s="261"/>
      <c r="CG144" s="263"/>
      <c r="CH144" s="263"/>
      <c r="CI144" s="263"/>
      <c r="CJ144" s="265"/>
      <c r="CK144" s="265"/>
      <c r="CL144" s="265"/>
      <c r="CM144" s="267"/>
      <c r="CN144" s="267"/>
      <c r="CO144" s="271"/>
    </row>
    <row r="145" spans="79:93" ht="15">
      <c r="CA145" s="175"/>
      <c r="CB145" s="175"/>
      <c r="CC145" s="175"/>
      <c r="CD145" s="261"/>
      <c r="CE145" s="261"/>
      <c r="CF145" s="261"/>
      <c r="CG145" s="263"/>
      <c r="CH145" s="263"/>
      <c r="CI145" s="263"/>
      <c r="CJ145" s="265"/>
      <c r="CK145" s="265"/>
      <c r="CL145" s="265"/>
      <c r="CM145" s="267"/>
      <c r="CN145" s="267"/>
      <c r="CO145" s="271"/>
    </row>
    <row r="146" spans="79:93" ht="15">
      <c r="CA146" s="175"/>
      <c r="CB146" s="175"/>
      <c r="CC146" s="175"/>
      <c r="CD146" s="261"/>
      <c r="CE146" s="261"/>
      <c r="CF146" s="261"/>
      <c r="CG146" s="263"/>
      <c r="CH146" s="263"/>
      <c r="CI146" s="263"/>
      <c r="CJ146" s="265"/>
      <c r="CK146" s="265"/>
      <c r="CL146" s="265"/>
      <c r="CM146" s="267"/>
      <c r="CN146" s="267"/>
      <c r="CO146" s="271"/>
    </row>
    <row r="147" spans="79:93" ht="15">
      <c r="CA147" s="175"/>
      <c r="CB147" s="175"/>
      <c r="CC147" s="175"/>
      <c r="CD147" s="261"/>
      <c r="CE147" s="261"/>
      <c r="CF147" s="261"/>
      <c r="CG147" s="263"/>
      <c r="CH147" s="263"/>
      <c r="CI147" s="263"/>
      <c r="CJ147" s="265"/>
      <c r="CK147" s="265"/>
      <c r="CL147" s="265"/>
      <c r="CM147" s="267"/>
      <c r="CN147" s="267"/>
      <c r="CO147" s="271"/>
    </row>
    <row r="148" spans="79:93" ht="15">
      <c r="CA148" s="175"/>
      <c r="CB148" s="175"/>
      <c r="CC148" s="175"/>
      <c r="CD148" s="261"/>
      <c r="CE148" s="261"/>
      <c r="CF148" s="261"/>
      <c r="CG148" s="263"/>
      <c r="CH148" s="263"/>
      <c r="CI148" s="263"/>
      <c r="CJ148" s="265"/>
      <c r="CK148" s="265"/>
      <c r="CL148" s="265"/>
      <c r="CM148" s="267"/>
      <c r="CN148" s="267"/>
      <c r="CO148" s="271"/>
    </row>
    <row r="149" spans="79:93" ht="15">
      <c r="CA149" s="175"/>
      <c r="CB149" s="175"/>
      <c r="CC149" s="175"/>
      <c r="CD149" s="261"/>
      <c r="CE149" s="261"/>
      <c r="CF149" s="261"/>
      <c r="CG149" s="263"/>
      <c r="CH149" s="263"/>
      <c r="CI149" s="263"/>
      <c r="CJ149" s="265"/>
      <c r="CK149" s="265"/>
      <c r="CL149" s="265"/>
      <c r="CM149" s="267"/>
      <c r="CN149" s="267"/>
      <c r="CO149" s="271"/>
    </row>
    <row r="150" spans="79:93" ht="15">
      <c r="CA150" s="175"/>
      <c r="CB150" s="175"/>
      <c r="CC150" s="175"/>
      <c r="CD150" s="261"/>
      <c r="CE150" s="261"/>
      <c r="CF150" s="261"/>
      <c r="CG150" s="263"/>
      <c r="CH150" s="263"/>
      <c r="CI150" s="263"/>
      <c r="CJ150" s="265"/>
      <c r="CK150" s="265"/>
      <c r="CL150" s="265"/>
      <c r="CM150" s="267"/>
      <c r="CN150" s="267"/>
      <c r="CO150" s="271"/>
    </row>
    <row r="151" spans="79:93" ht="15">
      <c r="CA151" s="175"/>
      <c r="CB151" s="175"/>
      <c r="CC151" s="175"/>
      <c r="CD151" s="261"/>
      <c r="CE151" s="261"/>
      <c r="CF151" s="261"/>
      <c r="CG151" s="263"/>
      <c r="CH151" s="263"/>
      <c r="CI151" s="263"/>
      <c r="CJ151" s="265"/>
      <c r="CK151" s="265"/>
      <c r="CL151" s="265"/>
      <c r="CM151" s="267"/>
      <c r="CN151" s="267"/>
      <c r="CO151" s="271"/>
    </row>
    <row r="152" spans="79:93" ht="15">
      <c r="CA152" s="175"/>
      <c r="CB152" s="175"/>
      <c r="CC152" s="175"/>
      <c r="CD152" s="261"/>
      <c r="CE152" s="261"/>
      <c r="CF152" s="261"/>
      <c r="CG152" s="263"/>
      <c r="CH152" s="263"/>
      <c r="CI152" s="263"/>
      <c r="CJ152" s="265"/>
      <c r="CK152" s="265"/>
      <c r="CL152" s="265"/>
      <c r="CM152" s="267"/>
      <c r="CN152" s="267"/>
      <c r="CO152" s="271"/>
    </row>
    <row r="153" spans="79:93" ht="15">
      <c r="CA153" s="175"/>
      <c r="CB153" s="175"/>
      <c r="CC153" s="175"/>
      <c r="CD153" s="261"/>
      <c r="CE153" s="261"/>
      <c r="CF153" s="261"/>
      <c r="CG153" s="263"/>
      <c r="CH153" s="263"/>
      <c r="CI153" s="263"/>
      <c r="CJ153" s="265"/>
      <c r="CK153" s="265"/>
      <c r="CL153" s="265"/>
      <c r="CM153" s="267"/>
      <c r="CN153" s="267"/>
      <c r="CO153" s="271"/>
    </row>
    <row r="154" spans="79:93" ht="15">
      <c r="CA154" s="175"/>
      <c r="CB154" s="175"/>
      <c r="CC154" s="175"/>
      <c r="CD154" s="261"/>
      <c r="CE154" s="261"/>
      <c r="CF154" s="261"/>
      <c r="CG154" s="263"/>
      <c r="CH154" s="263"/>
      <c r="CI154" s="263"/>
      <c r="CJ154" s="265"/>
      <c r="CK154" s="265"/>
      <c r="CL154" s="265"/>
      <c r="CM154" s="267"/>
      <c r="CN154" s="267"/>
      <c r="CO154" s="271"/>
    </row>
    <row r="155" spans="79:93" ht="15">
      <c r="CA155" s="175"/>
      <c r="CB155" s="175"/>
      <c r="CC155" s="175"/>
      <c r="CD155" s="261"/>
      <c r="CE155" s="261"/>
      <c r="CF155" s="261"/>
      <c r="CG155" s="263"/>
      <c r="CH155" s="263"/>
      <c r="CI155" s="263"/>
      <c r="CJ155" s="265"/>
      <c r="CK155" s="265"/>
      <c r="CL155" s="265"/>
      <c r="CM155" s="267"/>
      <c r="CN155" s="267"/>
      <c r="CO155" s="271"/>
    </row>
    <row r="156" spans="79:93" ht="15">
      <c r="CA156" s="175"/>
      <c r="CB156" s="175"/>
      <c r="CC156" s="175"/>
      <c r="CD156" s="261"/>
      <c r="CE156" s="261"/>
      <c r="CF156" s="261"/>
      <c r="CG156" s="263"/>
      <c r="CH156" s="263"/>
      <c r="CI156" s="263"/>
      <c r="CJ156" s="265"/>
      <c r="CK156" s="265"/>
      <c r="CL156" s="265"/>
      <c r="CM156" s="267"/>
      <c r="CN156" s="267"/>
      <c r="CO156" s="271"/>
    </row>
    <row r="157" spans="79:93" ht="15">
      <c r="CA157" s="175"/>
      <c r="CB157" s="175"/>
      <c r="CC157" s="175"/>
      <c r="CD157" s="261"/>
      <c r="CE157" s="261"/>
      <c r="CF157" s="261"/>
      <c r="CG157" s="263"/>
      <c r="CH157" s="263"/>
      <c r="CI157" s="263"/>
      <c r="CJ157" s="265"/>
      <c r="CK157" s="265"/>
      <c r="CL157" s="265"/>
      <c r="CM157" s="267"/>
      <c r="CN157" s="267"/>
      <c r="CO157" s="271"/>
    </row>
    <row r="158" spans="79:93" ht="15">
      <c r="CA158" s="175"/>
      <c r="CB158" s="175"/>
      <c r="CC158" s="175"/>
      <c r="CD158" s="261"/>
      <c r="CE158" s="261"/>
      <c r="CF158" s="261"/>
      <c r="CG158" s="263"/>
      <c r="CH158" s="263"/>
      <c r="CI158" s="263"/>
      <c r="CJ158" s="265"/>
      <c r="CK158" s="265"/>
      <c r="CL158" s="265"/>
      <c r="CM158" s="267"/>
      <c r="CN158" s="267"/>
      <c r="CO158" s="271"/>
    </row>
    <row r="159" spans="79:93" ht="15">
      <c r="CA159" s="175"/>
      <c r="CB159" s="175"/>
      <c r="CC159" s="175"/>
      <c r="CD159" s="261"/>
      <c r="CE159" s="261"/>
      <c r="CF159" s="261"/>
      <c r="CG159" s="263"/>
      <c r="CH159" s="263"/>
      <c r="CI159" s="263"/>
      <c r="CJ159" s="265"/>
      <c r="CK159" s="265"/>
      <c r="CL159" s="265"/>
      <c r="CM159" s="267"/>
      <c r="CN159" s="267"/>
      <c r="CO159" s="271"/>
    </row>
    <row r="160" spans="79:93" ht="15">
      <c r="CA160" s="175"/>
      <c r="CB160" s="175"/>
      <c r="CC160" s="175"/>
      <c r="CD160" s="261"/>
      <c r="CE160" s="261"/>
      <c r="CF160" s="261"/>
      <c r="CG160" s="263"/>
      <c r="CH160" s="263"/>
      <c r="CI160" s="263"/>
      <c r="CJ160" s="265"/>
      <c r="CK160" s="265"/>
      <c r="CL160" s="265"/>
      <c r="CM160" s="267"/>
      <c r="CN160" s="267"/>
      <c r="CO160" s="271"/>
    </row>
  </sheetData>
  <sheetProtection password="ABD7" sheet="1" scenarios="1"/>
  <protectedRanges>
    <protectedRange sqref="B17:C20 D19 D20 E19 E20 E18 E17 F15:F20 G11:G20" name="Rango1"/>
  </protectedRanges>
  <mergeCells count="1">
    <mergeCell ref="B1:G2"/>
  </mergeCells>
  <hyperlinks>
    <hyperlink ref="B8" location="'COSTO-ENTRADAS'!C5" display="Aguacate relleno"/>
    <hyperlink ref="B9" location="'COSTO-ENTRADAS'!C26" display="Canelones de camarones"/>
    <hyperlink ref="B10" location="'COSTO-ENTRADAS'!C74" display="Canelones de carne"/>
    <hyperlink ref="B11" location="'COSTO-ENTRADAS'!C69" display="Canelones de pollo"/>
    <hyperlink ref="B12" location="'COSTO-ENTRADAS'!C91" display="Ceviche de camarones"/>
    <hyperlink ref="B13" location="'COSTO-ENTRADAS'!C112" display="Ceviche de concha"/>
    <hyperlink ref="B14" location="'COSTO-ENTRADAS'!C134" display="Ceviche de pollo"/>
    <hyperlink ref="B15" location="'COSTO-ENTRADAS'!C155" display="Coctel de Camarones"/>
    <hyperlink ref="B16" location="'COSTO-ENTRADAS'!C177" display="Tomate relleno"/>
    <hyperlink ref="C8" location="'COSTO-SOPAS'!C5" display="Crema de acelga"/>
    <hyperlink ref="C9" location="'COSTO-SOPAS'!C26" display="Crema de champiñones"/>
    <hyperlink ref="C10" location="'COSTO-SOPAS'!C74" display="Crema de esparragos"/>
    <hyperlink ref="C11" location="'COSTO-SOPAS'!C69" display="Crema de pollo"/>
    <hyperlink ref="C12" location="'COSTO-SOPAS'!C91" display="Locro de cuero"/>
    <hyperlink ref="C13" location="'COSTO-SOPAS'!C112" display="Locro de queso"/>
    <hyperlink ref="C14" location="'COSTO-SOPAS'!C134" display="Sopa de albóndigas"/>
    <hyperlink ref="C15" location="'COSTO-SOPAS'!C155" display="Sopa de pollo"/>
    <hyperlink ref="C16" location="'COSTO-SOPAS'!C177" display="Yahuarlocro"/>
    <hyperlink ref="B17" location="'COSTO-ENTRADAS'!C198" display="'COSTO-ENTRADAS'!C198"/>
    <hyperlink ref="B18" location="'COSTO-ENTRADAS'!C220" display="'COSTO-ENTRADAS'!C220"/>
    <hyperlink ref="C18" location="'COSTO-SOPAS'!C220" display="'COSTO-SOPAS'!C220"/>
    <hyperlink ref="B19" location="'COSTO-ENTRADAS'!C241" display="'COSTO-ENTRADAS'!C241"/>
    <hyperlink ref="C19" location="'COSTO-SOPAS'!C241" display="'COSTO-SOPAS'!C241"/>
    <hyperlink ref="B20" location="'COSTO-ENTRADAS'!C263" display="'COSTO-ENTRADAS'!C263"/>
    <hyperlink ref="C20" location="'COSTO-SOPAS'!C263" display="'COSTO-SOPAS'!C263"/>
    <hyperlink ref="C17" location="'COSTO-SOPAS'!C198" display="'COSTO-SOPAS'!C198"/>
    <hyperlink ref="D8" location="'COSTO-FUERTES'!C5" display="Filete migñon"/>
    <hyperlink ref="E8" location="'COSTO-BEBIDAS'!C5" display="Chicha de Arroz"/>
    <hyperlink ref="F8" location="'COSTO-POSTRE'!C5" display="Duraznos con creas"/>
    <hyperlink ref="G8" location="'COSTO-ACOMPAÑAMIENTO'!C5" display="Canguil"/>
    <hyperlink ref="D9" location="'COSTO-FUERTES'!C26" display="Gordon blue"/>
    <hyperlink ref="E9" location="'COSTO-BEBIDAS'!C26" display="Colas"/>
    <hyperlink ref="F9" location="'COSTO-POSTRE'!C26" display="Duraznos en almibar"/>
    <hyperlink ref="G9" location="'COSTO-ACOMPAÑAMIENTO'!C26" display="Canguil con Chifles"/>
    <hyperlink ref="D10" location="'COSTO-FUERTES'!C74" display="Lomo a la plancha"/>
    <hyperlink ref="E10" location="'COSTO-BEBIDAS'!C74" display="Colas y Minerales"/>
    <hyperlink ref="F10" location="'COSTO-POSTRE'!C74" display="Ensalada de frutas"/>
    <hyperlink ref="G10" location="'COSTO-ACOMPAÑAMIENTO'!C74" display="'COSTO-ACOMPAÑAMIENTO'!C74"/>
    <hyperlink ref="D11" location="'COSTO-FUERTES'!C69" display="Lomo apanado"/>
    <hyperlink ref="E11" location="'COSTO-BEBIDAS'!C69" display="Jugo de Guayaba"/>
    <hyperlink ref="F11" location="'COSTO-POSTRE'!C69" display="Frutillas con crema"/>
    <hyperlink ref="G11" location="'COSTO-ACOMPAÑAMIENTO'!C69" display="'COSTO-ACOMPAÑAMIENTO'!C69"/>
    <hyperlink ref="D12" location="'COSTO-FUERTES'!C91" display="Lomo con champiñones"/>
    <hyperlink ref="E12" location="'COSTO-BEBIDAS'!C91" display="Jugo de Mora"/>
    <hyperlink ref="F12" location="'COSTO-POSTRE'!C91" display="Frutillas en almibar"/>
    <hyperlink ref="G12" location="'COSTO-ACOMPAÑAMIENTO'!C91" display="'COSTO-ACOMPAÑAMIENTO'!C91"/>
    <hyperlink ref="D13" location="'COSTO-FUERTES'!C112" display="Lomo napolitano"/>
    <hyperlink ref="E13" location="'COSTO-BEBIDAS'!C112" display="Jugo de papaya"/>
    <hyperlink ref="F13" location="'COSTO-POSTRE'!C112" display="Gelatina"/>
    <hyperlink ref="G13" location="'COSTO-ACOMPAÑAMIENTO'!C112" display="'COSTO-ACOMPAÑAMIENTO'!C112"/>
    <hyperlink ref="E14" location="'COSTO-BEBIDAS'!C134" display="Jugo de piña"/>
    <hyperlink ref="F14" location="'COSTO-POSTRE'!C134" display="Helados con torta"/>
    <hyperlink ref="G14" location="'COSTO-ACOMPAÑAMIENTO'!C134" display="'COSTO-ACOMPAÑAMIENTO'!C134"/>
    <hyperlink ref="D15" location="'COSTO-FUERTES'!C155" display="Pollo asado"/>
    <hyperlink ref="E15" location="'COSTO-BEBIDAS'!C155" display="Jugo de Tomate"/>
    <hyperlink ref="F15" location="'COSTO-POSTRE'!C155" display="'COSTO-POSTRE'!C155"/>
    <hyperlink ref="G15" location="'COSTO-ACOMPAÑAMIENTO'!C155" display="'COSTO-ACOMPAÑAMIENTO'!C155"/>
    <hyperlink ref="D16" location="'COSTO-FUERTES'!C177" display="Pollo con champiñones"/>
    <hyperlink ref="E16" location="'COSTO-BEBIDAS'!C177" display="Minerales"/>
    <hyperlink ref="F16" location="'COSTO-POSTRE'!C177" display="'COSTO-POSTRE'!C177"/>
    <hyperlink ref="G16" location="'COSTO-ACOMPAÑAMIENTO'!C177" display="'COSTO-ACOMPAÑAMIENTO'!C177"/>
    <hyperlink ref="D17" location="'COSTO-FUERTES'!C198" display="'COSTO-FUERTES'!C198"/>
    <hyperlink ref="E17" location="'COSTO-BEBIDAS'!C198" display="'COSTO-BEBIDAS'!C198"/>
    <hyperlink ref="F17" location="'COSTO-POSTRE'!C198" display="'COSTO-POSTRE'!C198"/>
    <hyperlink ref="G17" location="'COSTO-ACOMPAÑAMIENTO'!C198" display="'COSTO-ACOMPAÑAMIENTO'!C198"/>
    <hyperlink ref="D18" location="'COSTO-FUERTES'!C220" display="'COSTO-FUERTES'!C220"/>
    <hyperlink ref="E18" location="'COSTO-BEBIDAS'!C220" display="'COSTO-BEBIDAS'!C220"/>
    <hyperlink ref="F18" location="'COSTO-POSTRE'!C220" display="'COSTO-POSTRE'!C220"/>
    <hyperlink ref="G18" location="'COSTO-ACOMPAÑAMIENTO'!C220" display="'COSTO-ACOMPAÑAMIENTO'!C220"/>
    <hyperlink ref="D19" location="'COSTO-FUERTES'!C241" display="'COSTO-FUERTES'!C241"/>
    <hyperlink ref="E19" location="'COSTO-BEBIDAS'!C241" display="'COSTO-BEBIDAS'!C241"/>
    <hyperlink ref="F19" location="'COSTO-POSTRE'!C241" display="'COSTO-POSTRE'!C241"/>
    <hyperlink ref="G19" location="'COSTO-ACOMPAÑAMIENTO'!C241" display="'COSTO-ACOMPAÑAMIENTO'!C241"/>
    <hyperlink ref="D20" location="'COSTO-FUERTES'!C263" display="'COSTO-FUERTES'!C263"/>
    <hyperlink ref="E20" location="'COSTO-BEBIDAS'!C263" display="'COSTO-BEBIDAS'!C263"/>
    <hyperlink ref="F20" location="'COSTO-POSTRE'!C263" display="'COSTO-POSTRE'!C263"/>
    <hyperlink ref="G20" location="'COSTO-ACOMPAÑAMIENTO'!C263" display="'COSTO-ACOMPAÑAMIENTO'!C263"/>
  </hyperlink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">
    <tabColor theme="1"/>
  </sheetPr>
  <dimension ref="C1:H358"/>
  <sheetViews>
    <sheetView workbookViewId="0" topLeftCell="A1">
      <pane ySplit="3" topLeftCell="A5" activePane="bottomLeft" state="frozen"/>
      <selection pane="topLeft" activeCell="F152" sqref="F152"/>
      <selection pane="bottomLeft" activeCell="F152" sqref="F152"/>
    </sheetView>
  </sheetViews>
  <sheetFormatPr defaultColWidth="11.421875" defaultRowHeight="15"/>
  <cols>
    <col min="1" max="2" width="11.421875" style="21" customWidth="1"/>
    <col min="3" max="3" width="25.7109375" style="21" customWidth="1"/>
    <col min="4" max="4" width="11.421875" style="21" customWidth="1"/>
    <col min="5" max="5" width="7.7109375" style="21" customWidth="1"/>
    <col min="6" max="6" width="11.421875" style="140" customWidth="1"/>
    <col min="7" max="7" width="12.00390625" style="140" customWidth="1"/>
    <col min="8" max="16384" width="11.421875" style="21" customWidth="1"/>
  </cols>
  <sheetData>
    <row r="1" spans="3:8" ht="19.5">
      <c r="C1" s="550" t="s">
        <v>98</v>
      </c>
      <c r="D1" s="550"/>
      <c r="E1" s="550"/>
      <c r="F1" s="550"/>
      <c r="G1" s="550"/>
      <c r="H1" s="550"/>
    </row>
    <row r="2" ht="15"/>
    <row r="3" spans="3:8" ht="21">
      <c r="C3" s="551" t="s">
        <v>410</v>
      </c>
      <c r="D3" s="551"/>
      <c r="E3" s="551"/>
      <c r="F3" s="551"/>
      <c r="G3" s="551"/>
      <c r="H3" s="551"/>
    </row>
    <row r="5" spans="3:7" ht="19.5" thickBot="1">
      <c r="C5" s="546" t="str">
        <f>PLATOS!B8</f>
        <v>Aguacate relleno camaron</v>
      </c>
      <c r="D5" s="546"/>
      <c r="E5" s="546"/>
      <c r="F5" s="546"/>
      <c r="G5" s="546"/>
    </row>
    <row r="6" spans="4:7" ht="15.75" thickBot="1">
      <c r="D6" s="111" t="s">
        <v>269</v>
      </c>
      <c r="E6" s="111"/>
      <c r="F6" s="142" t="s">
        <v>270</v>
      </c>
      <c r="G6" s="148" t="s">
        <v>97</v>
      </c>
    </row>
    <row r="7" spans="3:7" ht="15.75" thickBot="1">
      <c r="C7" s="547" t="s">
        <v>91</v>
      </c>
      <c r="D7" s="548"/>
      <c r="E7" s="548"/>
      <c r="F7" s="549"/>
      <c r="G7" s="156">
        <f>SUM(G8:G18)</f>
        <v>0.8669528200000003</v>
      </c>
    </row>
    <row r="8" spans="3:7" ht="15">
      <c r="C8" s="25" t="s">
        <v>338</v>
      </c>
      <c r="D8" s="42">
        <v>68</v>
      </c>
      <c r="E8" s="42" t="s">
        <v>284</v>
      </c>
      <c r="F8" s="143">
        <f>'LISTA DE PRODUCTOS'!$G$15</f>
        <v>0.007700000000000001</v>
      </c>
      <c r="G8" s="141">
        <f>D8*F8</f>
        <v>0.5236000000000001</v>
      </c>
    </row>
    <row r="9" spans="3:7" ht="15">
      <c r="C9" s="25" t="s">
        <v>263</v>
      </c>
      <c r="D9" s="42">
        <v>5</v>
      </c>
      <c r="E9" s="112" t="s">
        <v>284</v>
      </c>
      <c r="F9" s="143">
        <f>'LISTA DE PRODUCTOS'!$G$3</f>
        <v>0.00033</v>
      </c>
      <c r="G9" s="141">
        <f aca="true" t="shared" si="0" ref="G9:G12">D9*F9</f>
        <v>0.00165</v>
      </c>
    </row>
    <row r="10" spans="3:7" ht="15">
      <c r="C10" s="25" t="s">
        <v>258</v>
      </c>
      <c r="D10" s="42">
        <v>0.5</v>
      </c>
      <c r="E10" s="42" t="s">
        <v>283</v>
      </c>
      <c r="F10" s="143">
        <f>'LISTA DE PRODUCTOS'!G6</f>
        <v>0.25</v>
      </c>
      <c r="G10" s="141">
        <f t="shared" si="0"/>
        <v>0.125</v>
      </c>
    </row>
    <row r="11" spans="3:7" ht="15">
      <c r="C11" s="25" t="s">
        <v>265</v>
      </c>
      <c r="D11" s="42">
        <v>18</v>
      </c>
      <c r="E11" s="42" t="s">
        <v>284</v>
      </c>
      <c r="F11" s="143">
        <f>'LISTA DE PRODUCTOS'!$G$18</f>
        <v>0.0014666666666666667</v>
      </c>
      <c r="G11" s="141">
        <f t="shared" si="0"/>
        <v>0.0264</v>
      </c>
    </row>
    <row r="12" spans="3:7" ht="15">
      <c r="C12" s="25" t="s">
        <v>261</v>
      </c>
      <c r="D12" s="42">
        <v>46</v>
      </c>
      <c r="E12" s="42" t="s">
        <v>284</v>
      </c>
      <c r="F12" s="143">
        <f>'LISTA DE PRODUCTOS'!$G$20</f>
        <v>0.0022</v>
      </c>
      <c r="G12" s="141">
        <f t="shared" si="0"/>
        <v>0.10120000000000001</v>
      </c>
    </row>
    <row r="13" spans="3:7" ht="15">
      <c r="C13" s="27" t="s">
        <v>259</v>
      </c>
      <c r="D13" s="43">
        <v>9</v>
      </c>
      <c r="E13" s="43" t="s">
        <v>284</v>
      </c>
      <c r="F13" s="141">
        <f>'LISTA DE PRODUCTOS'!$G$35</f>
        <v>0.0022</v>
      </c>
      <c r="G13" s="141">
        <f aca="true" t="shared" si="1" ref="G13:G18">D13*F13</f>
        <v>0.0198</v>
      </c>
    </row>
    <row r="14" spans="3:7" ht="15">
      <c r="C14" s="27" t="s">
        <v>264</v>
      </c>
      <c r="D14" s="43">
        <v>0.25</v>
      </c>
      <c r="E14" s="43" t="s">
        <v>283</v>
      </c>
      <c r="F14" s="141">
        <f>'LISTA DE PRODUCTOS'!$G$36</f>
        <v>0.06</v>
      </c>
      <c r="G14" s="141">
        <f t="shared" si="1"/>
        <v>0.015</v>
      </c>
    </row>
    <row r="15" spans="3:7" ht="15">
      <c r="C15" s="27" t="s">
        <v>266</v>
      </c>
      <c r="D15" s="43">
        <v>8</v>
      </c>
      <c r="E15" s="43" t="s">
        <v>284</v>
      </c>
      <c r="F15" s="141">
        <f>'LISTA DE PRODUCTOS'!$G$43</f>
        <v>1.639E-05</v>
      </c>
      <c r="G15" s="141">
        <f t="shared" si="1"/>
        <v>0.00013112</v>
      </c>
    </row>
    <row r="16" spans="3:7" ht="15">
      <c r="C16" s="27" t="s">
        <v>260</v>
      </c>
      <c r="D16" s="43">
        <v>23</v>
      </c>
      <c r="E16" s="43" t="s">
        <v>284</v>
      </c>
      <c r="F16" s="141">
        <f>'LISTA DE PRODUCTOS'!$G$57</f>
        <v>0.0022</v>
      </c>
      <c r="G16" s="141">
        <f t="shared" si="1"/>
        <v>0.050600000000000006</v>
      </c>
    </row>
    <row r="17" spans="3:7" ht="15">
      <c r="C17" s="27" t="s">
        <v>262</v>
      </c>
      <c r="D17" s="43">
        <v>2.3</v>
      </c>
      <c r="E17" s="43" t="s">
        <v>284</v>
      </c>
      <c r="F17" s="141">
        <f>'LISTA DE PRODUCTOS'!$G$59</f>
        <v>0.0015400000000000001</v>
      </c>
      <c r="G17" s="141">
        <f t="shared" si="1"/>
        <v>0.003542</v>
      </c>
    </row>
    <row r="18" spans="3:7" ht="15">
      <c r="C18" s="27" t="s">
        <v>323</v>
      </c>
      <c r="D18" s="43">
        <v>3.95</v>
      </c>
      <c r="E18" s="43" t="s">
        <v>284</v>
      </c>
      <c r="F18" s="141">
        <f>'LISTA DE PRODUCTOS'!$G$61</f>
        <v>7.518987341772154E-06</v>
      </c>
      <c r="G18" s="141">
        <f t="shared" si="1"/>
        <v>2.9700000000000007E-05</v>
      </c>
    </row>
    <row r="19" spans="3:7" ht="15.75" thickBot="1">
      <c r="C19" s="2"/>
      <c r="D19" s="139"/>
      <c r="E19" s="139"/>
      <c r="F19" s="144"/>
      <c r="G19" s="144"/>
    </row>
    <row r="20" spans="3:7" ht="15.75" thickBot="1">
      <c r="C20" s="135" t="s">
        <v>92</v>
      </c>
      <c r="D20" s="38" t="s">
        <v>185</v>
      </c>
      <c r="E20" s="39"/>
      <c r="F20" s="145" t="s">
        <v>306</v>
      </c>
      <c r="G20" s="76">
        <f>SUM(G21:G26)</f>
        <v>0.20666666666666667</v>
      </c>
    </row>
    <row r="21" spans="3:7" ht="15">
      <c r="C21" s="41" t="s">
        <v>186</v>
      </c>
      <c r="D21" s="40"/>
      <c r="E21" s="40"/>
      <c r="F21" s="143"/>
      <c r="G21" s="141"/>
    </row>
    <row r="22" spans="3:8" ht="15">
      <c r="C22" s="25" t="s">
        <v>140</v>
      </c>
      <c r="D22" s="67">
        <f>'TIEMPO P.P.'!$F$4/'TIEMPO P.P.'!$H$3</f>
        <v>0.06933333333333333</v>
      </c>
      <c r="E22" s="67"/>
      <c r="F22" s="143">
        <f>IF(DATOS!$I$9&gt;0,(DATOS!$C$4*'TIEMPO P.P.'!$I$3)/240,0)</f>
        <v>0</v>
      </c>
      <c r="G22" s="141">
        <f>D22*F22</f>
        <v>0</v>
      </c>
      <c r="H22" s="66"/>
    </row>
    <row r="23" spans="3:7" ht="15">
      <c r="C23" s="25" t="s">
        <v>78</v>
      </c>
      <c r="D23" s="67">
        <f>'TIEMPO P.P.'!$F$15/'TIEMPO P.P.'!$H$3</f>
        <v>0.040888888888888884</v>
      </c>
      <c r="E23" s="67"/>
      <c r="F23" s="143">
        <f>IF(DATOS!$J$9&gt;0,DATOS!$C$5*'TIEMPO P.P.'!$I$14/240,0)</f>
        <v>0</v>
      </c>
      <c r="G23" s="141">
        <f>F23*D23</f>
        <v>0</v>
      </c>
    </row>
    <row r="24" spans="3:7" ht="15">
      <c r="C24" s="41" t="s">
        <v>187</v>
      </c>
      <c r="D24" s="42"/>
      <c r="E24" s="42"/>
      <c r="F24" s="143"/>
      <c r="G24" s="141"/>
    </row>
    <row r="25" spans="3:7" ht="15">
      <c r="C25" s="27" t="s">
        <v>140</v>
      </c>
      <c r="D25" s="68">
        <f>D22</f>
        <v>0.06933333333333333</v>
      </c>
      <c r="E25" s="68"/>
      <c r="F25" s="141">
        <f>IF(DATOS!$I$14&gt;0,DATOS!$C$7*'TIEMPO P.P.'!$I$3/8,0)</f>
        <v>1.875</v>
      </c>
      <c r="G25" s="141">
        <f>D25*F25</f>
        <v>0.13</v>
      </c>
    </row>
    <row r="26" spans="3:7" ht="15.75" thickBot="1">
      <c r="C26" s="22" t="s">
        <v>78</v>
      </c>
      <c r="D26" s="71">
        <f>D23</f>
        <v>0.040888888888888884</v>
      </c>
      <c r="E26" s="71"/>
      <c r="F26" s="141">
        <f>IF(DATOS!$J$14&gt;0,DATOS!$C$8*'TIEMPO P.P.'!$I$14/8,0)</f>
        <v>1.875</v>
      </c>
      <c r="G26" s="141">
        <f>D26*F26</f>
        <v>0.07666666666666666</v>
      </c>
    </row>
    <row r="27" spans="3:7" ht="15.75" thickBot="1">
      <c r="C27" s="135" t="s">
        <v>93</v>
      </c>
      <c r="D27" s="38" t="s">
        <v>193</v>
      </c>
      <c r="E27" s="39"/>
      <c r="F27" s="145" t="s">
        <v>198</v>
      </c>
      <c r="G27" s="76">
        <f>SUM(G28:G30)</f>
        <v>0.24342739748677247</v>
      </c>
    </row>
    <row r="28" spans="3:7" ht="15">
      <c r="C28" s="25" t="s">
        <v>191</v>
      </c>
      <c r="D28" s="70">
        <f>('TIEMPO P.P.'!$E$4+'TIEMPO P.P.'!$E$15)/2</f>
        <v>0.20666666666666667</v>
      </c>
      <c r="E28" s="70"/>
      <c r="F28" s="143">
        <f>IF(DATOS!$F$51=0,DATOS!$F$20,DATOS!$F$51)</f>
        <v>1.1778745039682539</v>
      </c>
      <c r="G28" s="141">
        <f>D28*$F$28</f>
        <v>0.24342739748677247</v>
      </c>
    </row>
    <row r="29" spans="3:7" ht="15">
      <c r="C29" s="27" t="s">
        <v>192</v>
      </c>
      <c r="D29" s="69">
        <f>D28</f>
        <v>0.20666666666666667</v>
      </c>
      <c r="E29" s="69"/>
      <c r="F29" s="141">
        <f>DATOS!$F$65/ORDEN!$D$34</f>
        <v>0</v>
      </c>
      <c r="G29" s="141">
        <f>D29*$F$29</f>
        <v>0</v>
      </c>
    </row>
    <row r="30" spans="3:7" ht="15.75" thickBot="1">
      <c r="C30" s="27"/>
      <c r="D30" s="27"/>
      <c r="E30" s="27"/>
      <c r="F30" s="141"/>
      <c r="G30" s="141"/>
    </row>
    <row r="31" spans="3:7" ht="17.25" thickBot="1" thickTop="1">
      <c r="C31" s="28"/>
      <c r="D31" s="543" t="s">
        <v>188</v>
      </c>
      <c r="E31" s="544"/>
      <c r="F31" s="545"/>
      <c r="G31" s="157">
        <f>G7+G20+G27</f>
        <v>1.3170468841534393</v>
      </c>
    </row>
    <row r="32" ht="15.75" thickTop="1"/>
    <row r="34" spans="3:7" ht="19.5" thickBot="1">
      <c r="C34" s="546" t="str">
        <f>PLATOS!B9</f>
        <v>Canelones de camarones</v>
      </c>
      <c r="D34" s="546"/>
      <c r="E34" s="546"/>
      <c r="F34" s="546"/>
      <c r="G34" s="546"/>
    </row>
    <row r="35" spans="4:7" ht="15.75" thickBot="1">
      <c r="D35" s="31" t="s">
        <v>96</v>
      </c>
      <c r="E35" s="31"/>
      <c r="F35" s="146" t="s">
        <v>95</v>
      </c>
      <c r="G35" s="148" t="s">
        <v>97</v>
      </c>
    </row>
    <row r="36" spans="3:7" ht="15.75" thickBot="1">
      <c r="C36" s="547" t="s">
        <v>91</v>
      </c>
      <c r="D36" s="548"/>
      <c r="E36" s="548"/>
      <c r="F36" s="549"/>
      <c r="G36" s="156">
        <f>SUM(G37:G45)</f>
        <v>0.6585071866666667</v>
      </c>
    </row>
    <row r="37" spans="3:7" ht="15">
      <c r="C37" s="25" t="s">
        <v>322</v>
      </c>
      <c r="D37" s="42">
        <v>68</v>
      </c>
      <c r="E37" s="42" t="s">
        <v>284</v>
      </c>
      <c r="F37" s="143">
        <f>'LISTA DE PRODUCTOS'!$G$15</f>
        <v>0.007700000000000001</v>
      </c>
      <c r="G37" s="141">
        <f>D37*F37</f>
        <v>0.5236000000000001</v>
      </c>
    </row>
    <row r="38" spans="3:7" ht="15">
      <c r="C38" s="27" t="s">
        <v>263</v>
      </c>
      <c r="D38" s="27">
        <v>0.1</v>
      </c>
      <c r="E38" s="27" t="s">
        <v>284</v>
      </c>
      <c r="F38" s="143">
        <f>'LISTA DE PRODUCTOS'!$G$3</f>
        <v>0.00033</v>
      </c>
      <c r="G38" s="141">
        <f aca="true" t="shared" si="2" ref="G38:G45">D38*F38</f>
        <v>3.3E-05</v>
      </c>
    </row>
    <row r="39" spans="3:7" ht="15">
      <c r="C39" s="27" t="s">
        <v>329</v>
      </c>
      <c r="D39" s="27">
        <v>13.64</v>
      </c>
      <c r="E39" s="27" t="s">
        <v>284</v>
      </c>
      <c r="F39" s="141">
        <f>'LISTA DE PRODUCTOS'!$G$12</f>
        <v>0.0006160000000000001</v>
      </c>
      <c r="G39" s="141">
        <f t="shared" si="2"/>
        <v>0.008402240000000002</v>
      </c>
    </row>
    <row r="40" spans="3:7" ht="15">
      <c r="C40" s="27" t="s">
        <v>265</v>
      </c>
      <c r="D40" s="27">
        <v>4.56</v>
      </c>
      <c r="E40" s="27" t="s">
        <v>284</v>
      </c>
      <c r="F40" s="143">
        <f>'LISTA DE PRODUCTOS'!$G$18</f>
        <v>0.0014666666666666667</v>
      </c>
      <c r="G40" s="141">
        <f t="shared" si="2"/>
        <v>0.0066879999999999995</v>
      </c>
    </row>
    <row r="41" spans="3:7" ht="15">
      <c r="C41" s="27" t="s">
        <v>328</v>
      </c>
      <c r="D41" s="27">
        <v>1</v>
      </c>
      <c r="E41" s="27" t="s">
        <v>283</v>
      </c>
      <c r="F41" s="141">
        <f>'LISTA DE PRODUCTOS'!$G$31</f>
        <v>0.10666666666666667</v>
      </c>
      <c r="G41" s="141">
        <f t="shared" si="2"/>
        <v>0.10666666666666667</v>
      </c>
    </row>
    <row r="42" spans="3:7" ht="15">
      <c r="C42" s="27" t="s">
        <v>282</v>
      </c>
      <c r="D42" s="27">
        <v>18</v>
      </c>
      <c r="E42" s="27" t="s">
        <v>284</v>
      </c>
      <c r="F42" s="141">
        <f>'LISTA DE PRODUCTOS'!$G$33</f>
        <v>0.0007150000000000001</v>
      </c>
      <c r="G42" s="141">
        <f t="shared" si="2"/>
        <v>0.012870000000000003</v>
      </c>
    </row>
    <row r="43" spans="3:7" ht="15">
      <c r="C43" s="27" t="s">
        <v>266</v>
      </c>
      <c r="D43" s="27">
        <v>2</v>
      </c>
      <c r="E43" s="27" t="s">
        <v>284</v>
      </c>
      <c r="F43" s="141">
        <f>'LISTA DE PRODUCTOS'!$G$43</f>
        <v>1.639E-05</v>
      </c>
      <c r="G43" s="141">
        <f t="shared" si="2"/>
        <v>3.278E-05</v>
      </c>
    </row>
    <row r="44" spans="3:7" ht="15">
      <c r="C44" s="27" t="s">
        <v>262</v>
      </c>
      <c r="D44" s="27">
        <v>0.12</v>
      </c>
      <c r="E44" s="27" t="s">
        <v>284</v>
      </c>
      <c r="F44" s="141">
        <f>'LISTA DE PRODUCTOS'!$G$59</f>
        <v>0.0015400000000000001</v>
      </c>
      <c r="G44" s="141">
        <f t="shared" si="2"/>
        <v>0.00018480000000000002</v>
      </c>
    </row>
    <row r="45" spans="3:7" ht="15">
      <c r="C45" s="27" t="s">
        <v>323</v>
      </c>
      <c r="D45" s="27">
        <v>3.95</v>
      </c>
      <c r="E45" s="27" t="s">
        <v>284</v>
      </c>
      <c r="F45" s="141">
        <f>'LISTA DE PRODUCTOS'!$G$61</f>
        <v>7.518987341772154E-06</v>
      </c>
      <c r="G45" s="141">
        <f t="shared" si="2"/>
        <v>2.9700000000000007E-05</v>
      </c>
    </row>
    <row r="46" spans="3:7" ht="15.75" thickBot="1">
      <c r="C46" s="2"/>
      <c r="D46" s="2"/>
      <c r="E46" s="2"/>
      <c r="F46" s="144"/>
      <c r="G46" s="144"/>
    </row>
    <row r="47" spans="3:7" ht="15.75" thickBot="1">
      <c r="C47" s="135" t="s">
        <v>92</v>
      </c>
      <c r="D47" s="38" t="s">
        <v>185</v>
      </c>
      <c r="E47" s="39"/>
      <c r="F47" s="145" t="s">
        <v>184</v>
      </c>
      <c r="G47" s="76">
        <f>SUM(G48:G53)</f>
        <v>0.20666666666666667</v>
      </c>
    </row>
    <row r="48" spans="3:7" ht="15">
      <c r="C48" s="41" t="s">
        <v>186</v>
      </c>
      <c r="D48" s="40"/>
      <c r="E48" s="40"/>
      <c r="F48" s="143"/>
      <c r="G48" s="141"/>
    </row>
    <row r="49" spans="3:7" ht="15">
      <c r="C49" s="25" t="s">
        <v>140</v>
      </c>
      <c r="D49" s="67">
        <f>'TIEMPO P.P.'!$F$4/'TIEMPO P.P.'!$H$3</f>
        <v>0.06933333333333333</v>
      </c>
      <c r="E49" s="67"/>
      <c r="F49" s="143">
        <f>IF(DATOS!$I$9&gt;0,(DATOS!$C$4*'TIEMPO P.P.'!$I$3)/240,0)</f>
        <v>0</v>
      </c>
      <c r="G49" s="141">
        <f>D49*F49</f>
        <v>0</v>
      </c>
    </row>
    <row r="50" spans="3:7" ht="15">
      <c r="C50" s="25" t="s">
        <v>78</v>
      </c>
      <c r="D50" s="67">
        <f>'TIEMPO P.P.'!$F$15/'TIEMPO P.P.'!$H$3</f>
        <v>0.040888888888888884</v>
      </c>
      <c r="E50" s="67"/>
      <c r="F50" s="143">
        <f>IF(DATOS!$J$9&gt;0,DATOS!$C$5*'TIEMPO P.P.'!$I$14/240,0)</f>
        <v>0</v>
      </c>
      <c r="G50" s="141">
        <f>F50*D50</f>
        <v>0</v>
      </c>
    </row>
    <row r="51" spans="3:7" ht="15">
      <c r="C51" s="41" t="s">
        <v>187</v>
      </c>
      <c r="D51" s="42"/>
      <c r="E51" s="42"/>
      <c r="F51" s="143"/>
      <c r="G51" s="141"/>
    </row>
    <row r="52" spans="3:7" ht="15">
      <c r="C52" s="27" t="s">
        <v>140</v>
      </c>
      <c r="D52" s="68">
        <f>D49</f>
        <v>0.06933333333333333</v>
      </c>
      <c r="E52" s="68"/>
      <c r="F52" s="141">
        <f>IF(DATOS!$I$14&gt;0,DATOS!$C$7*'TIEMPO P.P.'!$I$3/8,0)</f>
        <v>1.875</v>
      </c>
      <c r="G52" s="141">
        <f>D52*F52</f>
        <v>0.13</v>
      </c>
    </row>
    <row r="53" spans="3:7" ht="15.75" thickBot="1">
      <c r="C53" s="22" t="s">
        <v>78</v>
      </c>
      <c r="D53" s="71">
        <f>D50</f>
        <v>0.040888888888888884</v>
      </c>
      <c r="E53" s="71"/>
      <c r="F53" s="141">
        <f>IF(DATOS!$J$14&gt;0,DATOS!$C$8*'TIEMPO P.P.'!$I$14/8,0)</f>
        <v>1.875</v>
      </c>
      <c r="G53" s="141">
        <f>D53*F53</f>
        <v>0.07666666666666666</v>
      </c>
    </row>
    <row r="54" spans="3:7" ht="15.75" thickBot="1">
      <c r="C54" s="135" t="s">
        <v>93</v>
      </c>
      <c r="D54" s="38" t="s">
        <v>193</v>
      </c>
      <c r="E54" s="39"/>
      <c r="F54" s="145" t="s">
        <v>198</v>
      </c>
      <c r="G54" s="76">
        <f>SUM(G55:G57)</f>
        <v>0.24342739748677247</v>
      </c>
    </row>
    <row r="55" spans="3:7" ht="15">
      <c r="C55" s="25" t="s">
        <v>191</v>
      </c>
      <c r="D55" s="70">
        <f>('TIEMPO P.P.'!$E$4+'TIEMPO P.P.'!$E$15)/2</f>
        <v>0.20666666666666667</v>
      </c>
      <c r="E55" s="70"/>
      <c r="F55" s="143">
        <f>IF(DATOS!$F$51=0,DATOS!$F$20,DATOS!$F$51)</f>
        <v>1.1778745039682539</v>
      </c>
      <c r="G55" s="141">
        <f>D55*$F$28</f>
        <v>0.24342739748677247</v>
      </c>
    </row>
    <row r="56" spans="3:7" ht="15">
      <c r="C56" s="27" t="s">
        <v>192</v>
      </c>
      <c r="D56" s="69">
        <f>D55</f>
        <v>0.20666666666666667</v>
      </c>
      <c r="E56" s="69"/>
      <c r="F56" s="141">
        <f>DATOS!$F$65/ORDEN!$D$34</f>
        <v>0</v>
      </c>
      <c r="G56" s="141">
        <f>D56*$F$29</f>
        <v>0</v>
      </c>
    </row>
    <row r="57" spans="3:7" ht="15.75" thickBot="1">
      <c r="C57" s="27"/>
      <c r="D57" s="27"/>
      <c r="E57" s="27"/>
      <c r="F57" s="141"/>
      <c r="G57" s="141">
        <f aca="true" t="shared" si="3" ref="G57">D57*F57</f>
        <v>0</v>
      </c>
    </row>
    <row r="58" spans="3:7" ht="17.25" thickBot="1" thickTop="1">
      <c r="C58" s="28"/>
      <c r="D58" s="543" t="s">
        <v>94</v>
      </c>
      <c r="E58" s="544"/>
      <c r="F58" s="545"/>
      <c r="G58" s="157">
        <f>G36+G47+G54</f>
        <v>1.108601250820106</v>
      </c>
    </row>
    <row r="59" ht="15.75" thickTop="1"/>
    <row r="62" spans="3:7" ht="19.5" thickBot="1">
      <c r="C62" s="546" t="str">
        <f>PLATOS!B10</f>
        <v>Canelones de carne</v>
      </c>
      <c r="D62" s="546"/>
      <c r="E62" s="546"/>
      <c r="F62" s="546"/>
      <c r="G62" s="546"/>
    </row>
    <row r="63" spans="4:7" ht="15.75" thickBot="1">
      <c r="D63" s="31" t="s">
        <v>96</v>
      </c>
      <c r="E63" s="31"/>
      <c r="F63" s="146" t="s">
        <v>95</v>
      </c>
      <c r="G63" s="148" t="s">
        <v>97</v>
      </c>
    </row>
    <row r="64" spans="3:7" ht="15.75" thickBot="1">
      <c r="C64" s="547" t="s">
        <v>91</v>
      </c>
      <c r="D64" s="548"/>
      <c r="E64" s="548"/>
      <c r="F64" s="549"/>
      <c r="G64" s="156">
        <f>SUM(G65:G74)</f>
        <v>0.8481690600000001</v>
      </c>
    </row>
    <row r="65" spans="3:7" ht="15">
      <c r="C65" s="25" t="s">
        <v>327</v>
      </c>
      <c r="D65" s="25">
        <v>45.46</v>
      </c>
      <c r="E65" s="25" t="s">
        <v>284</v>
      </c>
      <c r="F65" s="143">
        <f>'LISTA DE PRODUCTOS'!$G$16</f>
        <v>0.0035200000000000006</v>
      </c>
      <c r="G65" s="141">
        <f>D65*F65</f>
        <v>0.16001920000000003</v>
      </c>
    </row>
    <row r="66" spans="3:7" ht="15">
      <c r="C66" s="27" t="s">
        <v>263</v>
      </c>
      <c r="D66" s="27">
        <v>0.1</v>
      </c>
      <c r="E66" s="27" t="s">
        <v>284</v>
      </c>
      <c r="F66" s="143">
        <f>'LISTA DE PRODUCTOS'!$G$3</f>
        <v>0.00033</v>
      </c>
      <c r="G66" s="141">
        <f aca="true" t="shared" si="4" ref="G66:G74">D66*F66</f>
        <v>3.3E-05</v>
      </c>
    </row>
    <row r="67" spans="3:7" ht="15">
      <c r="C67" s="27" t="s">
        <v>329</v>
      </c>
      <c r="D67" s="27">
        <v>13.64</v>
      </c>
      <c r="E67" s="27" t="s">
        <v>284</v>
      </c>
      <c r="F67" s="141">
        <f>'LISTA DE PRODUCTOS'!$G$12</f>
        <v>0.0006160000000000001</v>
      </c>
      <c r="G67" s="141">
        <f t="shared" si="4"/>
        <v>0.008402240000000002</v>
      </c>
    </row>
    <row r="68" spans="3:7" ht="15">
      <c r="C68" s="27" t="s">
        <v>286</v>
      </c>
      <c r="D68" s="27">
        <v>9.09</v>
      </c>
      <c r="E68" s="27" t="s">
        <v>284</v>
      </c>
      <c r="F68" s="141">
        <f>'LISTA DE PRODUCTOS'!$G$13</f>
        <v>0.0007260000000000001</v>
      </c>
      <c r="G68" s="141">
        <f t="shared" si="4"/>
        <v>0.00659934</v>
      </c>
    </row>
    <row r="69" spans="3:7" ht="15">
      <c r="C69" s="27" t="s">
        <v>287</v>
      </c>
      <c r="D69" s="27">
        <v>9.09</v>
      </c>
      <c r="E69" s="27" t="s">
        <v>284</v>
      </c>
      <c r="F69" s="141">
        <f>'LISTA DE PRODUCTOS'!$G$14</f>
        <v>0.0022</v>
      </c>
      <c r="G69" s="141">
        <f t="shared" si="4"/>
        <v>0.019998000000000002</v>
      </c>
    </row>
    <row r="70" spans="3:7" ht="15">
      <c r="C70" s="27" t="s">
        <v>328</v>
      </c>
      <c r="D70" s="27">
        <v>6</v>
      </c>
      <c r="E70" s="27" t="s">
        <v>283</v>
      </c>
      <c r="F70" s="141">
        <f>'LISTA DE PRODUCTOS'!$G$31</f>
        <v>0.10666666666666667</v>
      </c>
      <c r="G70" s="141">
        <f t="shared" si="4"/>
        <v>0.64</v>
      </c>
    </row>
    <row r="71" spans="3:7" ht="15">
      <c r="C71" s="22" t="s">
        <v>282</v>
      </c>
      <c r="D71" s="27">
        <v>18</v>
      </c>
      <c r="E71" s="22" t="s">
        <v>284</v>
      </c>
      <c r="F71" s="141">
        <f>'LISTA DE PRODUCTOS'!$G$33</f>
        <v>0.0007150000000000001</v>
      </c>
      <c r="G71" s="141">
        <f t="shared" si="4"/>
        <v>0.012870000000000003</v>
      </c>
    </row>
    <row r="72" spans="3:7" ht="15">
      <c r="C72" s="22" t="s">
        <v>331</v>
      </c>
      <c r="D72" s="27">
        <v>2</v>
      </c>
      <c r="E72" s="22" t="s">
        <v>284</v>
      </c>
      <c r="F72" s="141">
        <f>'LISTA DE PRODUCTOS'!$G$43</f>
        <v>1.639E-05</v>
      </c>
      <c r="G72" s="141">
        <f t="shared" si="4"/>
        <v>3.278E-05</v>
      </c>
    </row>
    <row r="73" spans="3:7" ht="15">
      <c r="C73" s="22" t="s">
        <v>262</v>
      </c>
      <c r="D73" s="27">
        <v>0.12</v>
      </c>
      <c r="E73" s="22" t="s">
        <v>284</v>
      </c>
      <c r="F73" s="141">
        <f>'LISTA DE PRODUCTOS'!$G$59</f>
        <v>0.0015400000000000001</v>
      </c>
      <c r="G73" s="141">
        <f t="shared" si="4"/>
        <v>0.00018480000000000002</v>
      </c>
    </row>
    <row r="74" spans="3:7" ht="15">
      <c r="C74" s="27" t="s">
        <v>323</v>
      </c>
      <c r="D74" s="27">
        <v>3.95</v>
      </c>
      <c r="E74" s="27" t="s">
        <v>284</v>
      </c>
      <c r="F74" s="141">
        <f>'LISTA DE PRODUCTOS'!$G$61</f>
        <v>7.518987341772154E-06</v>
      </c>
      <c r="G74" s="141">
        <f t="shared" si="4"/>
        <v>2.9700000000000007E-05</v>
      </c>
    </row>
    <row r="75" spans="3:7" ht="15.75" thickBot="1">
      <c r="C75" s="2"/>
      <c r="D75" s="2"/>
      <c r="E75" s="2"/>
      <c r="F75" s="144"/>
      <c r="G75" s="144"/>
    </row>
    <row r="76" spans="3:7" ht="15.75" thickBot="1">
      <c r="C76" s="135" t="s">
        <v>92</v>
      </c>
      <c r="D76" s="38" t="s">
        <v>185</v>
      </c>
      <c r="E76" s="39"/>
      <c r="F76" s="145" t="s">
        <v>184</v>
      </c>
      <c r="G76" s="76">
        <f>SUM(G77:G82)</f>
        <v>0.20666666666666667</v>
      </c>
    </row>
    <row r="77" spans="3:7" ht="15">
      <c r="C77" s="41" t="s">
        <v>186</v>
      </c>
      <c r="D77" s="40"/>
      <c r="E77" s="40"/>
      <c r="F77" s="143"/>
      <c r="G77" s="141"/>
    </row>
    <row r="78" spans="3:7" ht="15">
      <c r="C78" s="25" t="s">
        <v>140</v>
      </c>
      <c r="D78" s="67">
        <f>'TIEMPO P.P.'!$F$4/'TIEMPO P.P.'!$H$3</f>
        <v>0.06933333333333333</v>
      </c>
      <c r="E78" s="67"/>
      <c r="F78" s="143">
        <f>IF(DATOS!$I$9&gt;0,(DATOS!$C$4*'TIEMPO P.P.'!$I$3)/240,0)</f>
        <v>0</v>
      </c>
      <c r="G78" s="141">
        <f>D78*F78</f>
        <v>0</v>
      </c>
    </row>
    <row r="79" spans="3:7" ht="15">
      <c r="C79" s="25" t="s">
        <v>78</v>
      </c>
      <c r="D79" s="67">
        <f>'TIEMPO P.P.'!$F$15/'TIEMPO P.P.'!$H$3</f>
        <v>0.040888888888888884</v>
      </c>
      <c r="E79" s="67"/>
      <c r="F79" s="143">
        <f>IF(DATOS!$J$9&gt;0,DATOS!$C$5*'TIEMPO P.P.'!$I$14/240,0)</f>
        <v>0</v>
      </c>
      <c r="G79" s="141">
        <f>F79*D79</f>
        <v>0</v>
      </c>
    </row>
    <row r="80" spans="3:7" ht="15">
      <c r="C80" s="41" t="s">
        <v>187</v>
      </c>
      <c r="D80" s="42"/>
      <c r="E80" s="42"/>
      <c r="F80" s="143"/>
      <c r="G80" s="141"/>
    </row>
    <row r="81" spans="3:7" ht="15">
      <c r="C81" s="27" t="s">
        <v>140</v>
      </c>
      <c r="D81" s="68">
        <f>D78</f>
        <v>0.06933333333333333</v>
      </c>
      <c r="E81" s="68"/>
      <c r="F81" s="141">
        <f>IF(DATOS!$I$14&gt;0,DATOS!$C$7*'TIEMPO P.P.'!$I$3/8,0)</f>
        <v>1.875</v>
      </c>
      <c r="G81" s="141">
        <f>D81*F81</f>
        <v>0.13</v>
      </c>
    </row>
    <row r="82" spans="3:7" ht="15.75" thickBot="1">
      <c r="C82" s="22" t="s">
        <v>78</v>
      </c>
      <c r="D82" s="71">
        <f>D79</f>
        <v>0.040888888888888884</v>
      </c>
      <c r="E82" s="71"/>
      <c r="F82" s="141">
        <f>IF(DATOS!$J$14&gt;0,DATOS!$C$8*'TIEMPO P.P.'!$I$14/8,0)</f>
        <v>1.875</v>
      </c>
      <c r="G82" s="141">
        <f>D82*F82</f>
        <v>0.07666666666666666</v>
      </c>
    </row>
    <row r="83" spans="3:7" ht="15.75" thickBot="1">
      <c r="C83" s="135" t="s">
        <v>93</v>
      </c>
      <c r="D83" s="38" t="s">
        <v>193</v>
      </c>
      <c r="E83" s="39"/>
      <c r="F83" s="145" t="s">
        <v>198</v>
      </c>
      <c r="G83" s="76">
        <f>SUM(G84:G86)</f>
        <v>0.24342739748677247</v>
      </c>
    </row>
    <row r="84" spans="3:7" ht="15">
      <c r="C84" s="25" t="s">
        <v>191</v>
      </c>
      <c r="D84" s="70">
        <f>('TIEMPO P.P.'!$E$4+'TIEMPO P.P.'!$E$15)/2</f>
        <v>0.20666666666666667</v>
      </c>
      <c r="E84" s="70"/>
      <c r="F84" s="143">
        <f>IF(DATOS!$F$51=0,DATOS!$F$20,DATOS!$F$51)</f>
        <v>1.1778745039682539</v>
      </c>
      <c r="G84" s="141">
        <f>D84*$F$28</f>
        <v>0.24342739748677247</v>
      </c>
    </row>
    <row r="85" spans="3:7" ht="15">
      <c r="C85" s="27" t="s">
        <v>192</v>
      </c>
      <c r="D85" s="69">
        <f>D84</f>
        <v>0.20666666666666667</v>
      </c>
      <c r="E85" s="69"/>
      <c r="F85" s="141">
        <f>DATOS!$F$65/ORDEN!$D$34</f>
        <v>0</v>
      </c>
      <c r="G85" s="141">
        <f>D85*$F$29</f>
        <v>0</v>
      </c>
    </row>
    <row r="86" spans="3:7" ht="15.75" thickBot="1">
      <c r="C86" s="27"/>
      <c r="D86" s="27"/>
      <c r="E86" s="27"/>
      <c r="F86" s="141"/>
      <c r="G86" s="141">
        <f aca="true" t="shared" si="5" ref="G86">D86*F86</f>
        <v>0</v>
      </c>
    </row>
    <row r="87" spans="3:7" ht="17.25" thickBot="1" thickTop="1">
      <c r="C87" s="28"/>
      <c r="D87" s="543" t="s">
        <v>94</v>
      </c>
      <c r="E87" s="544"/>
      <c r="F87" s="545"/>
      <c r="G87" s="157">
        <f>G64+G76+G83</f>
        <v>1.2982631241534393</v>
      </c>
    </row>
    <row r="88" ht="15.75" thickTop="1"/>
    <row r="90" spans="3:7" ht="19.5" thickBot="1">
      <c r="C90" s="546" t="str">
        <f>PLATOS!B11</f>
        <v>Canelones de pollo</v>
      </c>
      <c r="D90" s="546"/>
      <c r="E90" s="546"/>
      <c r="F90" s="546"/>
      <c r="G90" s="546"/>
    </row>
    <row r="91" spans="4:7" ht="15.75" thickBot="1">
      <c r="D91" s="31" t="s">
        <v>96</v>
      </c>
      <c r="E91" s="31"/>
      <c r="F91" s="146" t="s">
        <v>95</v>
      </c>
      <c r="G91" s="148" t="s">
        <v>97</v>
      </c>
    </row>
    <row r="92" spans="3:7" ht="15.75" thickBot="1">
      <c r="C92" s="547" t="s">
        <v>91</v>
      </c>
      <c r="D92" s="548"/>
      <c r="E92" s="548"/>
      <c r="F92" s="549"/>
      <c r="G92" s="156">
        <f>SUM(G93:G102)</f>
        <v>0.2670171866666667</v>
      </c>
    </row>
    <row r="93" spans="3:7" ht="15">
      <c r="C93" s="25" t="s">
        <v>336</v>
      </c>
      <c r="D93" s="25">
        <v>60</v>
      </c>
      <c r="E93" s="25" t="s">
        <v>284</v>
      </c>
      <c r="F93" s="143">
        <f>'LISTA DE PRODUCTOS'!$G$55</f>
        <v>0.0022</v>
      </c>
      <c r="G93" s="141">
        <f>D93*F93</f>
        <v>0.132</v>
      </c>
    </row>
    <row r="94" spans="3:7" ht="15">
      <c r="C94" s="27" t="s">
        <v>263</v>
      </c>
      <c r="D94" s="27">
        <v>0.1</v>
      </c>
      <c r="E94" s="27" t="s">
        <v>284</v>
      </c>
      <c r="F94" s="143">
        <f>'LISTA DE PRODUCTOS'!$G$3</f>
        <v>0.00033</v>
      </c>
      <c r="G94" s="141">
        <f aca="true" t="shared" si="6" ref="G94:G102">D94*F94</f>
        <v>3.3E-05</v>
      </c>
    </row>
    <row r="95" spans="3:7" ht="15">
      <c r="C95" s="27" t="s">
        <v>329</v>
      </c>
      <c r="D95" s="27">
        <v>13.64</v>
      </c>
      <c r="E95" s="27" t="s">
        <v>284</v>
      </c>
      <c r="F95" s="141">
        <f>'LISTA DE PRODUCTOS'!$G$12</f>
        <v>0.0006160000000000001</v>
      </c>
      <c r="G95" s="141">
        <f t="shared" si="6"/>
        <v>0.008402240000000002</v>
      </c>
    </row>
    <row r="96" spans="3:7" ht="15">
      <c r="C96" s="27" t="s">
        <v>265</v>
      </c>
      <c r="D96" s="27">
        <v>4.56</v>
      </c>
      <c r="E96" s="27" t="s">
        <v>284</v>
      </c>
      <c r="F96" s="143">
        <f>'LISTA DE PRODUCTOS'!$G$18</f>
        <v>0.0014666666666666667</v>
      </c>
      <c r="G96" s="141">
        <f t="shared" si="6"/>
        <v>0.0066879999999999995</v>
      </c>
    </row>
    <row r="97" spans="3:7" ht="15">
      <c r="C97" s="27" t="s">
        <v>330</v>
      </c>
      <c r="D97" s="27">
        <v>1</v>
      </c>
      <c r="E97" s="27" t="s">
        <v>283</v>
      </c>
      <c r="F97" s="141">
        <f>'LISTA DE PRODUCTOS'!$G$31</f>
        <v>0.10666666666666667</v>
      </c>
      <c r="G97" s="141">
        <f t="shared" si="6"/>
        <v>0.10666666666666667</v>
      </c>
    </row>
    <row r="98" spans="3:7" ht="15">
      <c r="C98" s="27" t="s">
        <v>282</v>
      </c>
      <c r="D98" s="27">
        <v>18</v>
      </c>
      <c r="E98" s="27" t="s">
        <v>284</v>
      </c>
      <c r="F98" s="141">
        <f>'LISTA DE PRODUCTOS'!$G$33</f>
        <v>0.0007150000000000001</v>
      </c>
      <c r="G98" s="141">
        <f t="shared" si="6"/>
        <v>0.012870000000000003</v>
      </c>
    </row>
    <row r="99" spans="3:7" ht="15">
      <c r="C99" s="22" t="s">
        <v>266</v>
      </c>
      <c r="D99" s="27">
        <v>2</v>
      </c>
      <c r="E99" s="22" t="s">
        <v>284</v>
      </c>
      <c r="F99" s="141">
        <f>'LISTA DE PRODUCTOS'!$G$43</f>
        <v>1.639E-05</v>
      </c>
      <c r="G99" s="141">
        <f t="shared" si="6"/>
        <v>3.278E-05</v>
      </c>
    </row>
    <row r="100" spans="3:7" ht="15">
      <c r="C100" s="22" t="s">
        <v>289</v>
      </c>
      <c r="D100" s="22">
        <v>0.1</v>
      </c>
      <c r="E100" s="22" t="s">
        <v>284</v>
      </c>
      <c r="F100" s="147">
        <f>'LISTA DE PRODUCTOS'!$G$51</f>
        <v>0.0011</v>
      </c>
      <c r="G100" s="141">
        <f t="shared" si="6"/>
        <v>0.00011000000000000002</v>
      </c>
    </row>
    <row r="101" spans="3:7" ht="15">
      <c r="C101" s="22" t="s">
        <v>262</v>
      </c>
      <c r="D101" s="27">
        <v>0.12</v>
      </c>
      <c r="E101" s="22" t="s">
        <v>284</v>
      </c>
      <c r="F101" s="141">
        <f>'LISTA DE PRODUCTOS'!$G$59</f>
        <v>0.0015400000000000001</v>
      </c>
      <c r="G101" s="141">
        <f t="shared" si="6"/>
        <v>0.00018480000000000002</v>
      </c>
    </row>
    <row r="102" spans="3:7" ht="15">
      <c r="C102" s="27" t="s">
        <v>323</v>
      </c>
      <c r="D102" s="27">
        <v>3.95</v>
      </c>
      <c r="E102" s="27" t="s">
        <v>284</v>
      </c>
      <c r="F102" s="141">
        <f>'LISTA DE PRODUCTOS'!$G$61</f>
        <v>7.518987341772154E-06</v>
      </c>
      <c r="G102" s="141">
        <f t="shared" si="6"/>
        <v>2.9700000000000007E-05</v>
      </c>
    </row>
    <row r="103" spans="3:7" ht="15.75" thickBot="1">
      <c r="C103" s="2"/>
      <c r="D103" s="2"/>
      <c r="E103" s="2"/>
      <c r="F103" s="144"/>
      <c r="G103" s="144"/>
    </row>
    <row r="104" spans="3:7" ht="15.75" thickBot="1">
      <c r="C104" s="135" t="s">
        <v>92</v>
      </c>
      <c r="D104" s="38" t="s">
        <v>185</v>
      </c>
      <c r="E104" s="39"/>
      <c r="F104" s="145" t="s">
        <v>184</v>
      </c>
      <c r="G104" s="76">
        <f>SUM(G105:G110)</f>
        <v>0.20666666666666667</v>
      </c>
    </row>
    <row r="105" spans="3:7" ht="15">
      <c r="C105" s="41" t="s">
        <v>186</v>
      </c>
      <c r="D105" s="40"/>
      <c r="E105" s="40"/>
      <c r="F105" s="143"/>
      <c r="G105" s="141"/>
    </row>
    <row r="106" spans="3:7" ht="15">
      <c r="C106" s="25" t="s">
        <v>140</v>
      </c>
      <c r="D106" s="67">
        <f>'TIEMPO P.P.'!$F$4/'TIEMPO P.P.'!$H$3</f>
        <v>0.06933333333333333</v>
      </c>
      <c r="E106" s="67"/>
      <c r="F106" s="143">
        <f>IF(DATOS!$I$9&gt;0,(DATOS!$C$4*'TIEMPO P.P.'!$I$3)/240,0)</f>
        <v>0</v>
      </c>
      <c r="G106" s="141">
        <f>D106*F106</f>
        <v>0</v>
      </c>
    </row>
    <row r="107" spans="3:7" ht="15">
      <c r="C107" s="25" t="s">
        <v>78</v>
      </c>
      <c r="D107" s="67">
        <f>'TIEMPO P.P.'!$F$15/'TIEMPO P.P.'!$H$3</f>
        <v>0.040888888888888884</v>
      </c>
      <c r="E107" s="67"/>
      <c r="F107" s="143">
        <f>IF(DATOS!$J$9&gt;0,DATOS!$C$5*'TIEMPO P.P.'!$I$14/240,0)</f>
        <v>0</v>
      </c>
      <c r="G107" s="141">
        <f>F107*D107</f>
        <v>0</v>
      </c>
    </row>
    <row r="108" spans="3:7" ht="15">
      <c r="C108" s="41" t="s">
        <v>187</v>
      </c>
      <c r="D108" s="42"/>
      <c r="E108" s="42"/>
      <c r="F108" s="143"/>
      <c r="G108" s="141"/>
    </row>
    <row r="109" spans="3:7" ht="15">
      <c r="C109" s="27" t="s">
        <v>140</v>
      </c>
      <c r="D109" s="68">
        <f>D106</f>
        <v>0.06933333333333333</v>
      </c>
      <c r="E109" s="68"/>
      <c r="F109" s="141">
        <f>IF(DATOS!$I$14&gt;0,DATOS!$C$7*'TIEMPO P.P.'!$I$3/8,0)</f>
        <v>1.875</v>
      </c>
      <c r="G109" s="141">
        <f>D109*F109</f>
        <v>0.13</v>
      </c>
    </row>
    <row r="110" spans="3:7" ht="15.75" thickBot="1">
      <c r="C110" s="22" t="s">
        <v>78</v>
      </c>
      <c r="D110" s="71">
        <f>D107</f>
        <v>0.040888888888888884</v>
      </c>
      <c r="E110" s="71"/>
      <c r="F110" s="141">
        <f>IF(DATOS!$J$14&gt;0,DATOS!$C$8*'TIEMPO P.P.'!$I$14/8,0)</f>
        <v>1.875</v>
      </c>
      <c r="G110" s="141">
        <f>D110*F110</f>
        <v>0.07666666666666666</v>
      </c>
    </row>
    <row r="111" spans="3:7" ht="15.75" thickBot="1">
      <c r="C111" s="135" t="s">
        <v>93</v>
      </c>
      <c r="D111" s="38" t="s">
        <v>193</v>
      </c>
      <c r="E111" s="39"/>
      <c r="F111" s="145" t="s">
        <v>198</v>
      </c>
      <c r="G111" s="76">
        <f>SUM(G112:G114)</f>
        <v>0.24342739748677247</v>
      </c>
    </row>
    <row r="112" spans="3:7" ht="15">
      <c r="C112" s="25" t="s">
        <v>191</v>
      </c>
      <c r="D112" s="70">
        <f>('TIEMPO P.P.'!$E$4+'TIEMPO P.P.'!$E$15)/2</f>
        <v>0.20666666666666667</v>
      </c>
      <c r="E112" s="70"/>
      <c r="F112" s="143">
        <f>IF(DATOS!$F$51=0,DATOS!$F$20,DATOS!$F$51)</f>
        <v>1.1778745039682539</v>
      </c>
      <c r="G112" s="141">
        <f>D112*$F$28</f>
        <v>0.24342739748677247</v>
      </c>
    </row>
    <row r="113" spans="3:7" ht="15">
      <c r="C113" s="27" t="s">
        <v>192</v>
      </c>
      <c r="D113" s="69">
        <f>D112</f>
        <v>0.20666666666666667</v>
      </c>
      <c r="E113" s="69"/>
      <c r="F113" s="141">
        <f>DATOS!$F$65/ORDEN!$D$34</f>
        <v>0</v>
      </c>
      <c r="G113" s="141">
        <f>D113*$F$29</f>
        <v>0</v>
      </c>
    </row>
    <row r="114" spans="3:7" ht="15.75" thickBot="1">
      <c r="C114" s="27"/>
      <c r="D114" s="27"/>
      <c r="E114" s="27"/>
      <c r="F114" s="141"/>
      <c r="G114" s="141">
        <f aca="true" t="shared" si="7" ref="G114">D114*F114</f>
        <v>0</v>
      </c>
    </row>
    <row r="115" spans="3:7" ht="17.25" thickBot="1" thickTop="1">
      <c r="C115" s="28"/>
      <c r="D115" s="543" t="s">
        <v>94</v>
      </c>
      <c r="E115" s="544"/>
      <c r="F115" s="545"/>
      <c r="G115" s="157">
        <f>G92+G104+G111</f>
        <v>0.7171112508201058</v>
      </c>
    </row>
    <row r="116" ht="15.75" thickTop="1"/>
    <row r="119" spans="3:7" ht="19.5" thickBot="1">
      <c r="C119" s="546" t="str">
        <f>PLATOS!B12</f>
        <v>Ceviche de camarones</v>
      </c>
      <c r="D119" s="546"/>
      <c r="E119" s="546"/>
      <c r="F119" s="546"/>
      <c r="G119" s="546"/>
    </row>
    <row r="120" spans="4:7" ht="15.75" thickBot="1">
      <c r="D120" s="31" t="s">
        <v>96</v>
      </c>
      <c r="E120" s="31"/>
      <c r="F120" s="146" t="s">
        <v>95</v>
      </c>
      <c r="G120" s="148" t="s">
        <v>97</v>
      </c>
    </row>
    <row r="121" spans="3:7" ht="15.75" thickBot="1">
      <c r="C121" s="547" t="s">
        <v>91</v>
      </c>
      <c r="D121" s="548"/>
      <c r="E121" s="548"/>
      <c r="F121" s="549"/>
      <c r="G121" s="156">
        <f>SUM(G122:G132)</f>
        <v>0.955519839915612</v>
      </c>
    </row>
    <row r="122" spans="3:7" ht="15">
      <c r="C122" s="25" t="s">
        <v>332</v>
      </c>
      <c r="D122" s="25">
        <v>113.64</v>
      </c>
      <c r="E122" s="25" t="s">
        <v>284</v>
      </c>
      <c r="F122" s="143">
        <f>'LISTA DE PRODUCTOS'!$G$15</f>
        <v>0.007700000000000001</v>
      </c>
      <c r="G122" s="141">
        <f>D122*F122</f>
        <v>0.8750280000000001</v>
      </c>
    </row>
    <row r="123" spans="3:7" ht="15">
      <c r="C123" s="25" t="s">
        <v>263</v>
      </c>
      <c r="D123" s="25">
        <v>0.25</v>
      </c>
      <c r="E123" s="25" t="s">
        <v>284</v>
      </c>
      <c r="F123" s="143">
        <f>'LISTA DE PRODUCTOS'!$G$3</f>
        <v>0.00033</v>
      </c>
      <c r="G123" s="141">
        <f aca="true" t="shared" si="8" ref="G123:G128">D123*F123</f>
        <v>8.25E-05</v>
      </c>
    </row>
    <row r="124" spans="3:7" ht="15">
      <c r="C124" s="25" t="s">
        <v>265</v>
      </c>
      <c r="D124" s="25">
        <v>22.73</v>
      </c>
      <c r="E124" s="25" t="s">
        <v>284</v>
      </c>
      <c r="F124" s="143">
        <f>'LISTA DE PRODUCTOS'!$G$18</f>
        <v>0.0014666666666666667</v>
      </c>
      <c r="G124" s="141">
        <f t="shared" si="8"/>
        <v>0.03333733333333334</v>
      </c>
    </row>
    <row r="125" spans="3:7" ht="15">
      <c r="C125" s="25" t="s">
        <v>274</v>
      </c>
      <c r="D125" s="25">
        <v>0.25</v>
      </c>
      <c r="E125" s="25" t="s">
        <v>284</v>
      </c>
      <c r="F125" s="143">
        <f>'LISTA DE PRODUCTOS'!$G$23</f>
        <v>0.0011</v>
      </c>
      <c r="G125" s="141">
        <f t="shared" si="8"/>
        <v>0.000275</v>
      </c>
    </row>
    <row r="126" spans="3:7" ht="15">
      <c r="C126" s="25" t="s">
        <v>334</v>
      </c>
      <c r="D126" s="25">
        <v>27.27</v>
      </c>
      <c r="E126" s="25" t="s">
        <v>284</v>
      </c>
      <c r="F126" s="143">
        <f>'LISTA DE PRODUCTOS'!$G$24</f>
        <v>0.0006233333333333334</v>
      </c>
      <c r="G126" s="141">
        <f t="shared" si="8"/>
        <v>0.0169983</v>
      </c>
    </row>
    <row r="127" spans="3:7" ht="15">
      <c r="C127" s="27" t="s">
        <v>264</v>
      </c>
      <c r="D127" s="155">
        <v>0.25</v>
      </c>
      <c r="E127" s="27" t="s">
        <v>283</v>
      </c>
      <c r="F127" s="141">
        <f>'LISTA DE PRODUCTOS'!$G$36</f>
        <v>0.06</v>
      </c>
      <c r="G127" s="141">
        <f t="shared" si="8"/>
        <v>0.015</v>
      </c>
    </row>
    <row r="128" spans="3:7" ht="15">
      <c r="C128" s="27" t="s">
        <v>333</v>
      </c>
      <c r="D128" s="27">
        <v>4.55</v>
      </c>
      <c r="E128" s="27" t="s">
        <v>284</v>
      </c>
      <c r="F128" s="141">
        <f>'LISTA DE PRODUCTOS'!$G$46</f>
        <v>0.0022</v>
      </c>
      <c r="G128" s="141">
        <f t="shared" si="8"/>
        <v>0.01001</v>
      </c>
    </row>
    <row r="129" spans="3:7" ht="15">
      <c r="C129" s="27" t="s">
        <v>294</v>
      </c>
      <c r="D129" s="27">
        <v>0.15</v>
      </c>
      <c r="E129" s="27" t="s">
        <v>284</v>
      </c>
      <c r="F129" s="141">
        <f>'LISTA DE PRODUCTOS'!$G$53</f>
        <v>0.0074800000000000005</v>
      </c>
      <c r="G129" s="141">
        <f aca="true" t="shared" si="9" ref="G129:G132">D129*F129</f>
        <v>0.001122</v>
      </c>
    </row>
    <row r="130" spans="3:7" ht="15">
      <c r="C130" s="27" t="s">
        <v>262</v>
      </c>
      <c r="D130" s="27">
        <v>2.27</v>
      </c>
      <c r="E130" s="27" t="s">
        <v>284</v>
      </c>
      <c r="F130" s="141">
        <f>'LISTA DE PRODUCTOS'!$G$59</f>
        <v>0.0015400000000000001</v>
      </c>
      <c r="G130" s="141">
        <f t="shared" si="9"/>
        <v>0.0034958000000000003</v>
      </c>
    </row>
    <row r="131" spans="3:7" ht="15">
      <c r="C131" s="27" t="s">
        <v>323</v>
      </c>
      <c r="D131" s="27">
        <v>22.73</v>
      </c>
      <c r="E131" s="27" t="s">
        <v>284</v>
      </c>
      <c r="F131" s="141">
        <f>'LISTA DE PRODUCTOS'!$G$61</f>
        <v>7.518987341772154E-06</v>
      </c>
      <c r="G131" s="141">
        <f t="shared" si="9"/>
        <v>0.00017090658227848107</v>
      </c>
    </row>
    <row r="132" spans="3:7" ht="15">
      <c r="C132" s="27" t="s">
        <v>276</v>
      </c>
      <c r="D132" s="27"/>
      <c r="E132" s="27"/>
      <c r="F132" s="141">
        <f>'LISTA DE PRODUCTOS'!$G$62</f>
        <v>0.013200000000000002</v>
      </c>
      <c r="G132" s="141">
        <f t="shared" si="9"/>
        <v>0</v>
      </c>
    </row>
    <row r="133" spans="3:7" ht="15.75" thickBot="1">
      <c r="C133" s="2"/>
      <c r="D133" s="2"/>
      <c r="E133" s="2"/>
      <c r="F133" s="144"/>
      <c r="G133" s="144"/>
    </row>
    <row r="134" spans="3:7" ht="15.75" thickBot="1">
      <c r="C134" s="135" t="s">
        <v>92</v>
      </c>
      <c r="D134" s="38" t="s">
        <v>185</v>
      </c>
      <c r="E134" s="39"/>
      <c r="F134" s="145" t="s">
        <v>184</v>
      </c>
      <c r="G134" s="76">
        <f>SUM(G135:G140)</f>
        <v>0.20666666666666667</v>
      </c>
    </row>
    <row r="135" spans="3:7" ht="15">
      <c r="C135" s="41" t="s">
        <v>186</v>
      </c>
      <c r="D135" s="40"/>
      <c r="E135" s="40"/>
      <c r="F135" s="143"/>
      <c r="G135" s="141"/>
    </row>
    <row r="136" spans="3:7" ht="15">
      <c r="C136" s="25" t="s">
        <v>140</v>
      </c>
      <c r="D136" s="67">
        <f>'TIEMPO P.P.'!$F$4/'TIEMPO P.P.'!$H$3</f>
        <v>0.06933333333333333</v>
      </c>
      <c r="E136" s="67"/>
      <c r="F136" s="143">
        <f>IF(DATOS!$I$9&gt;0,(DATOS!$C$4*'TIEMPO P.P.'!$I$3)/240,0)</f>
        <v>0</v>
      </c>
      <c r="G136" s="141">
        <f>D136*F136</f>
        <v>0</v>
      </c>
    </row>
    <row r="137" spans="3:7" ht="15">
      <c r="C137" s="25" t="s">
        <v>78</v>
      </c>
      <c r="D137" s="67">
        <f>'TIEMPO P.P.'!$F$15/'TIEMPO P.P.'!$H$3</f>
        <v>0.040888888888888884</v>
      </c>
      <c r="E137" s="67"/>
      <c r="F137" s="143">
        <f>IF(DATOS!$J$9&gt;0,DATOS!$C$5*'TIEMPO P.P.'!$I$14/240,0)</f>
        <v>0</v>
      </c>
      <c r="G137" s="141">
        <f>F137*D137</f>
        <v>0</v>
      </c>
    </row>
    <row r="138" spans="3:7" ht="15">
      <c r="C138" s="41" t="s">
        <v>187</v>
      </c>
      <c r="D138" s="42"/>
      <c r="E138" s="42"/>
      <c r="F138" s="143"/>
      <c r="G138" s="141"/>
    </row>
    <row r="139" spans="3:7" ht="15">
      <c r="C139" s="27" t="s">
        <v>140</v>
      </c>
      <c r="D139" s="68">
        <f>D136</f>
        <v>0.06933333333333333</v>
      </c>
      <c r="E139" s="68"/>
      <c r="F139" s="141">
        <f>IF(DATOS!$I$14&gt;0,DATOS!$C$7*'TIEMPO P.P.'!$I$3/8,0)</f>
        <v>1.875</v>
      </c>
      <c r="G139" s="141">
        <f>D139*F139</f>
        <v>0.13</v>
      </c>
    </row>
    <row r="140" spans="3:7" ht="15.75" thickBot="1">
      <c r="C140" s="22" t="s">
        <v>78</v>
      </c>
      <c r="D140" s="71">
        <f>D137</f>
        <v>0.040888888888888884</v>
      </c>
      <c r="E140" s="71"/>
      <c r="F140" s="141">
        <f>IF(DATOS!$J$14&gt;0,DATOS!$C$8*'TIEMPO P.P.'!$I$14/8,0)</f>
        <v>1.875</v>
      </c>
      <c r="G140" s="141">
        <f>D140*F140</f>
        <v>0.07666666666666666</v>
      </c>
    </row>
    <row r="141" spans="3:7" ht="15.75" thickBot="1">
      <c r="C141" s="135" t="s">
        <v>93</v>
      </c>
      <c r="D141" s="38" t="s">
        <v>193</v>
      </c>
      <c r="E141" s="39"/>
      <c r="F141" s="145" t="s">
        <v>198</v>
      </c>
      <c r="G141" s="76">
        <f>SUM(G142:G144)</f>
        <v>0.24342739748677247</v>
      </c>
    </row>
    <row r="142" spans="3:7" ht="15">
      <c r="C142" s="25" t="s">
        <v>191</v>
      </c>
      <c r="D142" s="70">
        <f>('TIEMPO P.P.'!$E$4+'TIEMPO P.P.'!$E$15)/2</f>
        <v>0.20666666666666667</v>
      </c>
      <c r="E142" s="70"/>
      <c r="F142" s="143">
        <f>IF(DATOS!$F$51=0,DATOS!$F$20,DATOS!$F$51)</f>
        <v>1.1778745039682539</v>
      </c>
      <c r="G142" s="141">
        <f>D142*$F$28</f>
        <v>0.24342739748677247</v>
      </c>
    </row>
    <row r="143" spans="3:7" ht="15">
      <c r="C143" s="27" t="s">
        <v>192</v>
      </c>
      <c r="D143" s="69">
        <f>D142</f>
        <v>0.20666666666666667</v>
      </c>
      <c r="E143" s="69"/>
      <c r="F143" s="141">
        <f>DATOS!$F$65/ORDEN!$D$34</f>
        <v>0</v>
      </c>
      <c r="G143" s="141">
        <f>D143*$F$29</f>
        <v>0</v>
      </c>
    </row>
    <row r="144" spans="3:7" ht="15.75" thickBot="1">
      <c r="C144" s="27"/>
      <c r="D144" s="27"/>
      <c r="E144" s="27"/>
      <c r="F144" s="141"/>
      <c r="G144" s="141">
        <f aca="true" t="shared" si="10" ref="G144">D144*F144</f>
        <v>0</v>
      </c>
    </row>
    <row r="145" spans="3:7" ht="17.25" thickBot="1" thickTop="1">
      <c r="C145" s="28"/>
      <c r="D145" s="543" t="s">
        <v>94</v>
      </c>
      <c r="E145" s="544"/>
      <c r="F145" s="545"/>
      <c r="G145" s="157">
        <f>G121+G134+G141</f>
        <v>1.405613904069051</v>
      </c>
    </row>
    <row r="146" ht="15.75" thickTop="1"/>
    <row r="148" spans="3:7" ht="19.5" thickBot="1">
      <c r="C148" s="546" t="str">
        <f>PLATOS!B13</f>
        <v>Ceviche de concha</v>
      </c>
      <c r="D148" s="546"/>
      <c r="E148" s="546"/>
      <c r="F148" s="546"/>
      <c r="G148" s="546"/>
    </row>
    <row r="149" spans="4:7" ht="15.75" thickBot="1">
      <c r="D149" s="31" t="s">
        <v>96</v>
      </c>
      <c r="E149" s="31"/>
      <c r="F149" s="146" t="s">
        <v>95</v>
      </c>
      <c r="G149" s="148" t="s">
        <v>97</v>
      </c>
    </row>
    <row r="150" spans="3:7" ht="15.75" thickBot="1">
      <c r="C150" s="547" t="s">
        <v>91</v>
      </c>
      <c r="D150" s="548"/>
      <c r="E150" s="548"/>
      <c r="F150" s="549"/>
      <c r="G150" s="156">
        <f>SUM(G151:G161)</f>
        <v>1.2804918399156122</v>
      </c>
    </row>
    <row r="151" spans="3:7" ht="15">
      <c r="C151" s="25" t="s">
        <v>335</v>
      </c>
      <c r="D151" s="25">
        <v>6</v>
      </c>
      <c r="E151" s="25" t="s">
        <v>283</v>
      </c>
      <c r="F151" s="143">
        <f>'LISTA DE PRODUCTOS'!$G$27</f>
        <v>0.2</v>
      </c>
      <c r="G151" s="141">
        <f>D151*F151</f>
        <v>1.2000000000000002</v>
      </c>
    </row>
    <row r="152" spans="3:7" ht="15">
      <c r="C152" s="25" t="s">
        <v>263</v>
      </c>
      <c r="D152" s="25">
        <v>0.25</v>
      </c>
      <c r="E152" s="25" t="s">
        <v>284</v>
      </c>
      <c r="F152" s="143">
        <f>'LISTA DE PRODUCTOS'!$G$3</f>
        <v>0.00033</v>
      </c>
      <c r="G152" s="141">
        <f aca="true" t="shared" si="11" ref="G152:G160">D152*F152</f>
        <v>8.25E-05</v>
      </c>
    </row>
    <row r="153" spans="3:7" ht="15">
      <c r="C153" s="25" t="s">
        <v>265</v>
      </c>
      <c r="D153" s="25">
        <v>22.73</v>
      </c>
      <c r="E153" s="25" t="s">
        <v>284</v>
      </c>
      <c r="F153" s="143">
        <f>'LISTA DE PRODUCTOS'!$G$18</f>
        <v>0.0014666666666666667</v>
      </c>
      <c r="G153" s="141">
        <f t="shared" si="11"/>
        <v>0.03333733333333334</v>
      </c>
    </row>
    <row r="154" spans="3:7" ht="15">
      <c r="C154" s="25" t="s">
        <v>274</v>
      </c>
      <c r="D154" s="25">
        <v>0.25</v>
      </c>
      <c r="E154" s="25" t="s">
        <v>284</v>
      </c>
      <c r="F154" s="143">
        <f>'LISTA DE PRODUCTOS'!$G$23</f>
        <v>0.0011</v>
      </c>
      <c r="G154" s="141">
        <f t="shared" si="11"/>
        <v>0.000275</v>
      </c>
    </row>
    <row r="155" spans="3:7" ht="15">
      <c r="C155" s="25" t="s">
        <v>334</v>
      </c>
      <c r="D155" s="25">
        <v>27.27</v>
      </c>
      <c r="E155" s="25" t="s">
        <v>284</v>
      </c>
      <c r="F155" s="143">
        <f>'LISTA DE PRODUCTOS'!$G$24</f>
        <v>0.0006233333333333334</v>
      </c>
      <c r="G155" s="141">
        <f t="shared" si="11"/>
        <v>0.0169983</v>
      </c>
    </row>
    <row r="156" spans="3:7" ht="15">
      <c r="C156" s="27" t="s">
        <v>264</v>
      </c>
      <c r="D156" s="155">
        <v>0.25</v>
      </c>
      <c r="E156" s="27" t="s">
        <v>283</v>
      </c>
      <c r="F156" s="141">
        <f>'LISTA DE PRODUCTOS'!$G$36</f>
        <v>0.06</v>
      </c>
      <c r="G156" s="141">
        <f t="shared" si="11"/>
        <v>0.015</v>
      </c>
    </row>
    <row r="157" spans="3:7" ht="15">
      <c r="C157" s="27" t="s">
        <v>333</v>
      </c>
      <c r="D157" s="27">
        <v>4.55</v>
      </c>
      <c r="E157" s="27" t="s">
        <v>284</v>
      </c>
      <c r="F157" s="141">
        <f>'LISTA DE PRODUCTOS'!$G$46</f>
        <v>0.0022</v>
      </c>
      <c r="G157" s="141">
        <f t="shared" si="11"/>
        <v>0.01001</v>
      </c>
    </row>
    <row r="158" spans="3:7" ht="15">
      <c r="C158" s="27" t="s">
        <v>294</v>
      </c>
      <c r="D158" s="27">
        <v>0.15</v>
      </c>
      <c r="E158" s="27" t="s">
        <v>284</v>
      </c>
      <c r="F158" s="141">
        <f>'LISTA DE PRODUCTOS'!$G$53</f>
        <v>0.0074800000000000005</v>
      </c>
      <c r="G158" s="141">
        <f t="shared" si="11"/>
        <v>0.001122</v>
      </c>
    </row>
    <row r="159" spans="3:7" ht="15">
      <c r="C159" s="27" t="s">
        <v>262</v>
      </c>
      <c r="D159" s="27">
        <v>2.27</v>
      </c>
      <c r="E159" s="27" t="s">
        <v>284</v>
      </c>
      <c r="F159" s="141">
        <f>'LISTA DE PRODUCTOS'!$G$59</f>
        <v>0.0015400000000000001</v>
      </c>
      <c r="G159" s="141">
        <f t="shared" si="11"/>
        <v>0.0034958000000000003</v>
      </c>
    </row>
    <row r="160" spans="3:7" ht="15">
      <c r="C160" s="27" t="s">
        <v>323</v>
      </c>
      <c r="D160" s="27">
        <v>22.73</v>
      </c>
      <c r="E160" s="27" t="s">
        <v>284</v>
      </c>
      <c r="F160" s="141">
        <f>'LISTA DE PRODUCTOS'!$G$61</f>
        <v>7.518987341772154E-06</v>
      </c>
      <c r="G160" s="141">
        <f t="shared" si="11"/>
        <v>0.00017090658227848107</v>
      </c>
    </row>
    <row r="161" spans="3:7" ht="15">
      <c r="C161" s="27" t="s">
        <v>276</v>
      </c>
      <c r="D161" s="27"/>
      <c r="E161" s="27"/>
      <c r="F161" s="141">
        <f>'LISTA DE PRODUCTOS'!$G$62</f>
        <v>0.013200000000000002</v>
      </c>
      <c r="G161" s="141">
        <f aca="true" t="shared" si="12" ref="G161">D161*F161</f>
        <v>0</v>
      </c>
    </row>
    <row r="162" spans="3:7" ht="15.75" thickBot="1">
      <c r="C162" s="2"/>
      <c r="D162" s="2"/>
      <c r="E162" s="2"/>
      <c r="F162" s="144"/>
      <c r="G162" s="144"/>
    </row>
    <row r="163" spans="3:7" ht="15.75" thickBot="1">
      <c r="C163" s="135" t="s">
        <v>92</v>
      </c>
      <c r="D163" s="38" t="s">
        <v>185</v>
      </c>
      <c r="E163" s="39"/>
      <c r="F163" s="145" t="s">
        <v>184</v>
      </c>
      <c r="G163" s="76">
        <f>SUM(G164:G169)</f>
        <v>0.20666666666666667</v>
      </c>
    </row>
    <row r="164" spans="3:7" ht="15">
      <c r="C164" s="41" t="s">
        <v>186</v>
      </c>
      <c r="D164" s="40"/>
      <c r="E164" s="40"/>
      <c r="F164" s="143"/>
      <c r="G164" s="141"/>
    </row>
    <row r="165" spans="3:7" ht="15">
      <c r="C165" s="25" t="s">
        <v>140</v>
      </c>
      <c r="D165" s="67">
        <f>'TIEMPO P.P.'!$F$4/'TIEMPO P.P.'!$H$3</f>
        <v>0.06933333333333333</v>
      </c>
      <c r="E165" s="67"/>
      <c r="F165" s="143">
        <f>IF(DATOS!$I$9&gt;0,(DATOS!$C$4*'TIEMPO P.P.'!$I$3)/240,0)</f>
        <v>0</v>
      </c>
      <c r="G165" s="141">
        <f>D165*F165</f>
        <v>0</v>
      </c>
    </row>
    <row r="166" spans="3:7" ht="15">
      <c r="C166" s="25" t="s">
        <v>78</v>
      </c>
      <c r="D166" s="67">
        <f>'TIEMPO P.P.'!$F$15/'TIEMPO P.P.'!$H$3</f>
        <v>0.040888888888888884</v>
      </c>
      <c r="E166" s="67"/>
      <c r="F166" s="143">
        <f>IF(DATOS!$J$9&gt;0,DATOS!$C$5*'TIEMPO P.P.'!$I$14/240,0)</f>
        <v>0</v>
      </c>
      <c r="G166" s="141">
        <f>F166*D166</f>
        <v>0</v>
      </c>
    </row>
    <row r="167" spans="3:7" ht="15">
      <c r="C167" s="41" t="s">
        <v>187</v>
      </c>
      <c r="D167" s="42"/>
      <c r="E167" s="42"/>
      <c r="F167" s="143"/>
      <c r="G167" s="141"/>
    </row>
    <row r="168" spans="3:7" ht="15">
      <c r="C168" s="27" t="s">
        <v>140</v>
      </c>
      <c r="D168" s="68">
        <f>D165</f>
        <v>0.06933333333333333</v>
      </c>
      <c r="E168" s="68"/>
      <c r="F168" s="141">
        <f>IF(DATOS!$I$14&gt;0,DATOS!$C$7*'TIEMPO P.P.'!$I$3/8,0)</f>
        <v>1.875</v>
      </c>
      <c r="G168" s="141">
        <f>D168*F168</f>
        <v>0.13</v>
      </c>
    </row>
    <row r="169" spans="3:7" ht="15.75" thickBot="1">
      <c r="C169" s="22" t="s">
        <v>78</v>
      </c>
      <c r="D169" s="71">
        <f>D166</f>
        <v>0.040888888888888884</v>
      </c>
      <c r="E169" s="71"/>
      <c r="F169" s="141">
        <f>IF(DATOS!$J$14&gt;0,DATOS!$C$8*'TIEMPO P.P.'!$I$14/8,0)</f>
        <v>1.875</v>
      </c>
      <c r="G169" s="141">
        <f>D169*F169</f>
        <v>0.07666666666666666</v>
      </c>
    </row>
    <row r="170" spans="3:7" ht="15.75" thickBot="1">
      <c r="C170" s="135" t="s">
        <v>93</v>
      </c>
      <c r="D170" s="38" t="s">
        <v>193</v>
      </c>
      <c r="E170" s="39"/>
      <c r="F170" s="145" t="s">
        <v>198</v>
      </c>
      <c r="G170" s="76">
        <f>SUM(G171:G173)</f>
        <v>0.24342739748677247</v>
      </c>
    </row>
    <row r="171" spans="3:7" ht="15">
      <c r="C171" s="25" t="s">
        <v>191</v>
      </c>
      <c r="D171" s="70">
        <f>('TIEMPO P.P.'!$E$4+'TIEMPO P.P.'!$E$15)/2</f>
        <v>0.20666666666666667</v>
      </c>
      <c r="E171" s="70"/>
      <c r="F171" s="143">
        <f>IF(DATOS!$F$51=0,DATOS!$F$20,DATOS!$F$51)</f>
        <v>1.1778745039682539</v>
      </c>
      <c r="G171" s="141">
        <f>D171*$F$28</f>
        <v>0.24342739748677247</v>
      </c>
    </row>
    <row r="172" spans="3:7" ht="15">
      <c r="C172" s="27" t="s">
        <v>192</v>
      </c>
      <c r="D172" s="69">
        <f>D171</f>
        <v>0.20666666666666667</v>
      </c>
      <c r="E172" s="69"/>
      <c r="F172" s="141">
        <f>DATOS!$F$65/ORDEN!$D$34</f>
        <v>0</v>
      </c>
      <c r="G172" s="141">
        <f>D172*$F$29</f>
        <v>0</v>
      </c>
    </row>
    <row r="173" spans="3:7" ht="15.75" thickBot="1">
      <c r="C173" s="27"/>
      <c r="D173" s="27"/>
      <c r="E173" s="27"/>
      <c r="F173" s="141"/>
      <c r="G173" s="141">
        <f aca="true" t="shared" si="13" ref="G173">D173*F173</f>
        <v>0</v>
      </c>
    </row>
    <row r="174" spans="3:7" ht="17.25" thickBot="1" thickTop="1">
      <c r="C174" s="28"/>
      <c r="D174" s="543" t="s">
        <v>94</v>
      </c>
      <c r="E174" s="544"/>
      <c r="F174" s="545"/>
      <c r="G174" s="157">
        <f>G150+G163+G170</f>
        <v>1.7305859040690512</v>
      </c>
    </row>
    <row r="175" ht="15.75" thickTop="1"/>
    <row r="178" spans="3:7" ht="19.5" thickBot="1">
      <c r="C178" s="546" t="str">
        <f>PLATOS!B14</f>
        <v>Ceviche de pollo</v>
      </c>
      <c r="D178" s="546"/>
      <c r="E178" s="546"/>
      <c r="F178" s="546"/>
      <c r="G178" s="546"/>
    </row>
    <row r="179" spans="4:7" ht="15.75" thickBot="1">
      <c r="D179" s="31" t="s">
        <v>96</v>
      </c>
      <c r="E179" s="31"/>
      <c r="F179" s="146" t="s">
        <v>95</v>
      </c>
      <c r="G179" s="148" t="s">
        <v>97</v>
      </c>
    </row>
    <row r="180" spans="3:7" ht="15.75" thickBot="1">
      <c r="C180" s="547" t="s">
        <v>91</v>
      </c>
      <c r="D180" s="548"/>
      <c r="E180" s="548"/>
      <c r="F180" s="549"/>
      <c r="G180" s="156">
        <f>SUM(G181:G191)</f>
        <v>0.2804938399156119</v>
      </c>
    </row>
    <row r="181" spans="3:7" ht="15">
      <c r="C181" s="25" t="s">
        <v>336</v>
      </c>
      <c r="D181" s="25">
        <v>90.91</v>
      </c>
      <c r="E181" s="25" t="s">
        <v>284</v>
      </c>
      <c r="F181" s="143">
        <f>'LISTA DE PRODUCTOS'!$G$55</f>
        <v>0.0022</v>
      </c>
      <c r="G181" s="141">
        <f>D181*F181</f>
        <v>0.200002</v>
      </c>
    </row>
    <row r="182" spans="3:7" ht="15">
      <c r="C182" s="25" t="s">
        <v>263</v>
      </c>
      <c r="D182" s="25">
        <v>0.25</v>
      </c>
      <c r="E182" s="25" t="s">
        <v>284</v>
      </c>
      <c r="F182" s="143">
        <f>'LISTA DE PRODUCTOS'!$G$3</f>
        <v>0.00033</v>
      </c>
      <c r="G182" s="141">
        <f aca="true" t="shared" si="14" ref="G182:G188">D182*F182</f>
        <v>8.25E-05</v>
      </c>
    </row>
    <row r="183" spans="3:7" ht="15">
      <c r="C183" s="25" t="s">
        <v>265</v>
      </c>
      <c r="D183" s="25">
        <v>22.73</v>
      </c>
      <c r="E183" s="25" t="s">
        <v>284</v>
      </c>
      <c r="F183" s="143">
        <f>'LISTA DE PRODUCTOS'!$G$18</f>
        <v>0.0014666666666666667</v>
      </c>
      <c r="G183" s="141">
        <f t="shared" si="14"/>
        <v>0.03333733333333334</v>
      </c>
    </row>
    <row r="184" spans="3:7" ht="15">
      <c r="C184" s="25" t="s">
        <v>274</v>
      </c>
      <c r="D184" s="25">
        <v>0.25</v>
      </c>
      <c r="E184" s="25" t="s">
        <v>284</v>
      </c>
      <c r="F184" s="143">
        <f>'LISTA DE PRODUCTOS'!$G$23</f>
        <v>0.0011</v>
      </c>
      <c r="G184" s="141">
        <f t="shared" si="14"/>
        <v>0.000275</v>
      </c>
    </row>
    <row r="185" spans="3:7" ht="15">
      <c r="C185" s="25" t="s">
        <v>334</v>
      </c>
      <c r="D185" s="25">
        <v>27.27</v>
      </c>
      <c r="E185" s="25" t="s">
        <v>284</v>
      </c>
      <c r="F185" s="143">
        <f>'LISTA DE PRODUCTOS'!$G$24</f>
        <v>0.0006233333333333334</v>
      </c>
      <c r="G185" s="141">
        <f t="shared" si="14"/>
        <v>0.0169983</v>
      </c>
    </row>
    <row r="186" spans="3:7" ht="15">
      <c r="C186" s="27" t="s">
        <v>264</v>
      </c>
      <c r="D186" s="155">
        <v>0.25</v>
      </c>
      <c r="E186" s="27" t="s">
        <v>283</v>
      </c>
      <c r="F186" s="141">
        <f>'LISTA DE PRODUCTOS'!$G$36</f>
        <v>0.06</v>
      </c>
      <c r="G186" s="141">
        <f t="shared" si="14"/>
        <v>0.015</v>
      </c>
    </row>
    <row r="187" spans="3:7" ht="15">
      <c r="C187" s="27" t="s">
        <v>333</v>
      </c>
      <c r="D187" s="27">
        <v>4.55</v>
      </c>
      <c r="E187" s="27" t="s">
        <v>284</v>
      </c>
      <c r="F187" s="141">
        <f>'LISTA DE PRODUCTOS'!$G$46</f>
        <v>0.0022</v>
      </c>
      <c r="G187" s="141">
        <f t="shared" si="14"/>
        <v>0.01001</v>
      </c>
    </row>
    <row r="188" spans="3:7" ht="15">
      <c r="C188" s="27" t="s">
        <v>294</v>
      </c>
      <c r="D188" s="27">
        <v>0.15</v>
      </c>
      <c r="E188" s="27" t="s">
        <v>284</v>
      </c>
      <c r="F188" s="141">
        <f>'LISTA DE PRODUCTOS'!$G$53</f>
        <v>0.0074800000000000005</v>
      </c>
      <c r="G188" s="141">
        <f t="shared" si="14"/>
        <v>0.001122</v>
      </c>
    </row>
    <row r="189" spans="3:7" ht="15">
      <c r="C189" s="27" t="s">
        <v>262</v>
      </c>
      <c r="D189" s="27">
        <v>2.27</v>
      </c>
      <c r="E189" s="27" t="s">
        <v>284</v>
      </c>
      <c r="F189" s="141">
        <f>'LISTA DE PRODUCTOS'!$G$59</f>
        <v>0.0015400000000000001</v>
      </c>
      <c r="G189" s="141">
        <f aca="true" t="shared" si="15" ref="G189:G191">D189*F189</f>
        <v>0.0034958000000000003</v>
      </c>
    </row>
    <row r="190" spans="3:7" ht="15">
      <c r="C190" s="27" t="s">
        <v>323</v>
      </c>
      <c r="D190" s="27">
        <v>22.73</v>
      </c>
      <c r="E190" s="27" t="s">
        <v>284</v>
      </c>
      <c r="F190" s="141">
        <f>'LISTA DE PRODUCTOS'!$G$61</f>
        <v>7.518987341772154E-06</v>
      </c>
      <c r="G190" s="141">
        <f t="shared" si="15"/>
        <v>0.00017090658227848107</v>
      </c>
    </row>
    <row r="191" spans="3:7" ht="15">
      <c r="C191" s="27" t="s">
        <v>276</v>
      </c>
      <c r="D191" s="27"/>
      <c r="E191" s="27"/>
      <c r="F191" s="141">
        <f>'LISTA DE PRODUCTOS'!$G$62</f>
        <v>0.013200000000000002</v>
      </c>
      <c r="G191" s="141">
        <f t="shared" si="15"/>
        <v>0</v>
      </c>
    </row>
    <row r="192" spans="3:7" ht="15.75" thickBot="1">
      <c r="C192" s="2"/>
      <c r="D192" s="2"/>
      <c r="E192" s="2"/>
      <c r="F192" s="144"/>
      <c r="G192" s="144"/>
    </row>
    <row r="193" spans="3:7" ht="15.75" thickBot="1">
      <c r="C193" s="135" t="s">
        <v>92</v>
      </c>
      <c r="D193" s="38" t="s">
        <v>185</v>
      </c>
      <c r="E193" s="39"/>
      <c r="F193" s="145" t="s">
        <v>184</v>
      </c>
      <c r="G193" s="76">
        <f>SUM(G194:G199)</f>
        <v>0.20666666666666667</v>
      </c>
    </row>
    <row r="194" spans="3:7" ht="15">
      <c r="C194" s="41" t="s">
        <v>186</v>
      </c>
      <c r="D194" s="40"/>
      <c r="E194" s="40"/>
      <c r="F194" s="143"/>
      <c r="G194" s="141"/>
    </row>
    <row r="195" spans="3:7" ht="15">
      <c r="C195" s="25" t="s">
        <v>140</v>
      </c>
      <c r="D195" s="67">
        <f>'TIEMPO P.P.'!$F$4/'TIEMPO P.P.'!$H$3</f>
        <v>0.06933333333333333</v>
      </c>
      <c r="E195" s="67"/>
      <c r="F195" s="143">
        <f>IF(DATOS!$I$9&gt;0,(DATOS!$C$4*'TIEMPO P.P.'!$I$3)/240,0)</f>
        <v>0</v>
      </c>
      <c r="G195" s="141">
        <f>D195*F195</f>
        <v>0</v>
      </c>
    </row>
    <row r="196" spans="3:7" ht="15">
      <c r="C196" s="25" t="s">
        <v>78</v>
      </c>
      <c r="D196" s="67">
        <f>'TIEMPO P.P.'!$F$15/'TIEMPO P.P.'!$H$3</f>
        <v>0.040888888888888884</v>
      </c>
      <c r="E196" s="67"/>
      <c r="F196" s="143">
        <f>IF(DATOS!$J$9&gt;0,DATOS!$C$5*'TIEMPO P.P.'!$I$14/240,0)</f>
        <v>0</v>
      </c>
      <c r="G196" s="141">
        <f>F196*D196</f>
        <v>0</v>
      </c>
    </row>
    <row r="197" spans="3:7" ht="15">
      <c r="C197" s="41" t="s">
        <v>187</v>
      </c>
      <c r="D197" s="42"/>
      <c r="E197" s="42"/>
      <c r="F197" s="143"/>
      <c r="G197" s="141"/>
    </row>
    <row r="198" spans="3:7" ht="15">
      <c r="C198" s="27" t="s">
        <v>140</v>
      </c>
      <c r="D198" s="68">
        <f>D195</f>
        <v>0.06933333333333333</v>
      </c>
      <c r="E198" s="68"/>
      <c r="F198" s="141">
        <f>IF(DATOS!$I$14&gt;0,DATOS!$C$7*'TIEMPO P.P.'!$I$3/8,0)</f>
        <v>1.875</v>
      </c>
      <c r="G198" s="141">
        <f>D198*F198</f>
        <v>0.13</v>
      </c>
    </row>
    <row r="199" spans="3:7" ht="15.75" thickBot="1">
      <c r="C199" s="22" t="s">
        <v>78</v>
      </c>
      <c r="D199" s="71">
        <f>D196</f>
        <v>0.040888888888888884</v>
      </c>
      <c r="E199" s="71"/>
      <c r="F199" s="141">
        <f>IF(DATOS!$J$14&gt;0,DATOS!$C$8*'TIEMPO P.P.'!$I$14/8,0)</f>
        <v>1.875</v>
      </c>
      <c r="G199" s="141">
        <f>D199*F199</f>
        <v>0.07666666666666666</v>
      </c>
    </row>
    <row r="200" spans="3:7" ht="15.75" thickBot="1">
      <c r="C200" s="135" t="s">
        <v>93</v>
      </c>
      <c r="D200" s="38" t="s">
        <v>193</v>
      </c>
      <c r="E200" s="39"/>
      <c r="F200" s="145" t="s">
        <v>198</v>
      </c>
      <c r="G200" s="76">
        <f>SUM(G201:G203)</f>
        <v>0.24342739748677247</v>
      </c>
    </row>
    <row r="201" spans="3:7" ht="15">
      <c r="C201" s="25" t="s">
        <v>191</v>
      </c>
      <c r="D201" s="70">
        <f>('TIEMPO P.P.'!$E$4+'TIEMPO P.P.'!$E$15)/2</f>
        <v>0.20666666666666667</v>
      </c>
      <c r="E201" s="70"/>
      <c r="F201" s="143">
        <f>IF(DATOS!$F$51=0,DATOS!$F$20,DATOS!$F$51)</f>
        <v>1.1778745039682539</v>
      </c>
      <c r="G201" s="141">
        <f>D201*$F$28</f>
        <v>0.24342739748677247</v>
      </c>
    </row>
    <row r="202" spans="3:7" ht="15">
      <c r="C202" s="27" t="s">
        <v>192</v>
      </c>
      <c r="D202" s="69">
        <f>D201</f>
        <v>0.20666666666666667</v>
      </c>
      <c r="E202" s="69"/>
      <c r="F202" s="141">
        <f>DATOS!$F$65/ORDEN!$D$34</f>
        <v>0</v>
      </c>
      <c r="G202" s="141">
        <f>D202*$F$29</f>
        <v>0</v>
      </c>
    </row>
    <row r="203" spans="3:7" ht="15.75" thickBot="1">
      <c r="C203" s="27"/>
      <c r="D203" s="27"/>
      <c r="E203" s="27"/>
      <c r="F203" s="141"/>
      <c r="G203" s="141">
        <f aca="true" t="shared" si="16" ref="G203">D203*F203</f>
        <v>0</v>
      </c>
    </row>
    <row r="204" spans="3:7" ht="17.25" thickBot="1" thickTop="1">
      <c r="C204" s="28"/>
      <c r="D204" s="543" t="s">
        <v>94</v>
      </c>
      <c r="E204" s="544"/>
      <c r="F204" s="545"/>
      <c r="G204" s="157">
        <f>G180+G193+G200</f>
        <v>0.730587904069051</v>
      </c>
    </row>
    <row r="205" ht="15.75" thickTop="1"/>
    <row r="207" spans="3:7" ht="19.5" thickBot="1">
      <c r="C207" s="546" t="str">
        <f>PLATOS!B15</f>
        <v>Coctel de Camarones</v>
      </c>
      <c r="D207" s="546"/>
      <c r="E207" s="546"/>
      <c r="F207" s="546"/>
      <c r="G207" s="546"/>
    </row>
    <row r="208" spans="4:7" ht="15.75" thickBot="1">
      <c r="D208" s="31" t="s">
        <v>96</v>
      </c>
      <c r="E208" s="31"/>
      <c r="F208" s="146" t="s">
        <v>95</v>
      </c>
      <c r="G208" s="148" t="s">
        <v>97</v>
      </c>
    </row>
    <row r="209" spans="3:7" ht="15.75" thickBot="1">
      <c r="C209" s="547" t="s">
        <v>91</v>
      </c>
      <c r="D209" s="548"/>
      <c r="E209" s="548"/>
      <c r="F209" s="549"/>
      <c r="G209" s="156">
        <f>SUM(G210:G217)</f>
        <v>0.8164343977777779</v>
      </c>
    </row>
    <row r="210" spans="3:7" ht="15">
      <c r="C210" s="25" t="s">
        <v>322</v>
      </c>
      <c r="D210" s="25">
        <v>90.91</v>
      </c>
      <c r="E210" s="25" t="s">
        <v>284</v>
      </c>
      <c r="F210" s="143">
        <f>'LISTA DE PRODUCTOS'!$G$15</f>
        <v>0.007700000000000001</v>
      </c>
      <c r="G210" s="141">
        <f>D210*F210</f>
        <v>0.700007</v>
      </c>
    </row>
    <row r="211" spans="3:7" ht="15">
      <c r="C211" s="27" t="s">
        <v>325</v>
      </c>
      <c r="D211" s="155">
        <v>0.1111111111111111</v>
      </c>
      <c r="E211" s="25" t="s">
        <v>283</v>
      </c>
      <c r="F211" s="143">
        <f>'LISTA DE PRODUCTOS'!$G$6</f>
        <v>0.25</v>
      </c>
      <c r="G211" s="141">
        <f aca="true" t="shared" si="17" ref="G211:G213">D211*F211</f>
        <v>0.027777777777777776</v>
      </c>
    </row>
    <row r="212" spans="3:7" ht="15">
      <c r="C212" s="27" t="s">
        <v>259</v>
      </c>
      <c r="D212" s="25">
        <v>9.09</v>
      </c>
      <c r="E212" s="25" t="s">
        <v>284</v>
      </c>
      <c r="F212" s="141">
        <f>'LISTA DE PRODUCTOS'!$G$35</f>
        <v>0.0022</v>
      </c>
      <c r="G212" s="141">
        <f t="shared" si="17"/>
        <v>0.019998000000000002</v>
      </c>
    </row>
    <row r="213" spans="3:7" ht="15">
      <c r="C213" s="27" t="s">
        <v>324</v>
      </c>
      <c r="D213" s="155">
        <v>0.25</v>
      </c>
      <c r="E213" s="25" t="s">
        <v>283</v>
      </c>
      <c r="F213" s="141">
        <f>'LISTA DE PRODUCTOS'!$G$36</f>
        <v>0.06</v>
      </c>
      <c r="G213" s="141">
        <f t="shared" si="17"/>
        <v>0.015</v>
      </c>
    </row>
    <row r="214" spans="3:7" ht="15">
      <c r="C214" s="27" t="s">
        <v>266</v>
      </c>
      <c r="D214" s="27">
        <v>8</v>
      </c>
      <c r="E214" s="27" t="s">
        <v>284</v>
      </c>
      <c r="F214" s="141">
        <f>'LISTA DE PRODUCTOS'!$G$43</f>
        <v>1.639E-05</v>
      </c>
      <c r="G214" s="141">
        <f aca="true" t="shared" si="18" ref="G214:G217">D214*F214</f>
        <v>0.00013112</v>
      </c>
    </row>
    <row r="215" spans="3:7" ht="15">
      <c r="C215" s="27" t="s">
        <v>326</v>
      </c>
      <c r="D215" s="25">
        <v>9.09</v>
      </c>
      <c r="E215" s="27" t="s">
        <v>284</v>
      </c>
      <c r="F215" s="141">
        <f>'LISTA DE PRODUCTOS'!$G$54</f>
        <v>0.0055000000000000005</v>
      </c>
      <c r="G215" s="141">
        <f t="shared" si="18"/>
        <v>0.049995000000000005</v>
      </c>
    </row>
    <row r="216" spans="3:7" ht="15">
      <c r="C216" s="27" t="s">
        <v>262</v>
      </c>
      <c r="D216" s="27">
        <v>2.27</v>
      </c>
      <c r="E216" s="27" t="s">
        <v>284</v>
      </c>
      <c r="F216" s="141">
        <f>'LISTA DE PRODUCTOS'!$G$59</f>
        <v>0.0015400000000000001</v>
      </c>
      <c r="G216" s="141">
        <f t="shared" si="18"/>
        <v>0.0034958000000000003</v>
      </c>
    </row>
    <row r="217" spans="3:7" ht="15">
      <c r="C217" s="27" t="s">
        <v>323</v>
      </c>
      <c r="D217" s="27">
        <v>3.95</v>
      </c>
      <c r="E217" s="27" t="s">
        <v>284</v>
      </c>
      <c r="F217" s="141">
        <f>'LISTA DE PRODUCTOS'!$G$61</f>
        <v>7.518987341772154E-06</v>
      </c>
      <c r="G217" s="141">
        <f t="shared" si="18"/>
        <v>2.9700000000000007E-05</v>
      </c>
    </row>
    <row r="218" spans="3:7" ht="15.75" thickBot="1">
      <c r="C218" s="2"/>
      <c r="D218" s="2"/>
      <c r="E218" s="2"/>
      <c r="F218" s="144"/>
      <c r="G218" s="144"/>
    </row>
    <row r="219" spans="3:7" ht="15.75" thickBot="1">
      <c r="C219" s="135" t="s">
        <v>92</v>
      </c>
      <c r="D219" s="38" t="s">
        <v>185</v>
      </c>
      <c r="E219" s="39"/>
      <c r="F219" s="145" t="s">
        <v>184</v>
      </c>
      <c r="G219" s="76">
        <f>SUM(G220:G225)</f>
        <v>0.20666666666666667</v>
      </c>
    </row>
    <row r="220" spans="3:7" ht="15">
      <c r="C220" s="41" t="s">
        <v>186</v>
      </c>
      <c r="D220" s="40"/>
      <c r="E220" s="40"/>
      <c r="F220" s="143"/>
      <c r="G220" s="141"/>
    </row>
    <row r="221" spans="3:7" ht="15">
      <c r="C221" s="25" t="s">
        <v>140</v>
      </c>
      <c r="D221" s="67">
        <f>'TIEMPO P.P.'!$F$4/'TIEMPO P.P.'!$H$3</f>
        <v>0.06933333333333333</v>
      </c>
      <c r="E221" s="67"/>
      <c r="F221" s="143">
        <f>IF(DATOS!$I$9&gt;0,(DATOS!$C$4*'TIEMPO P.P.'!$I$3)/240,0)</f>
        <v>0</v>
      </c>
      <c r="G221" s="141">
        <f>D221*F221</f>
        <v>0</v>
      </c>
    </row>
    <row r="222" spans="3:7" ht="15">
      <c r="C222" s="25" t="s">
        <v>78</v>
      </c>
      <c r="D222" s="67">
        <f>'TIEMPO P.P.'!$F$15/'TIEMPO P.P.'!$H$3</f>
        <v>0.040888888888888884</v>
      </c>
      <c r="E222" s="67"/>
      <c r="F222" s="143">
        <f>IF(DATOS!$J$9&gt;0,DATOS!$C$5*'TIEMPO P.P.'!$I$14/240,0)</f>
        <v>0</v>
      </c>
      <c r="G222" s="141">
        <f>F222*D222</f>
        <v>0</v>
      </c>
    </row>
    <row r="223" spans="3:7" ht="15">
      <c r="C223" s="41" t="s">
        <v>187</v>
      </c>
      <c r="D223" s="42"/>
      <c r="E223" s="42"/>
      <c r="F223" s="143"/>
      <c r="G223" s="141"/>
    </row>
    <row r="224" spans="3:7" ht="15">
      <c r="C224" s="27" t="s">
        <v>140</v>
      </c>
      <c r="D224" s="68">
        <f>D221</f>
        <v>0.06933333333333333</v>
      </c>
      <c r="E224" s="68"/>
      <c r="F224" s="141">
        <f>IF(DATOS!$I$14&gt;0,DATOS!$C$7*'TIEMPO P.P.'!$I$3/8,0)</f>
        <v>1.875</v>
      </c>
      <c r="G224" s="141">
        <f>D224*F224</f>
        <v>0.13</v>
      </c>
    </row>
    <row r="225" spans="3:7" ht="15.75" thickBot="1">
      <c r="C225" s="22" t="s">
        <v>78</v>
      </c>
      <c r="D225" s="71">
        <f>D222</f>
        <v>0.040888888888888884</v>
      </c>
      <c r="E225" s="71"/>
      <c r="F225" s="141">
        <f>IF(DATOS!$J$14&gt;0,DATOS!$C$8*'TIEMPO P.P.'!$I$14/8,0)</f>
        <v>1.875</v>
      </c>
      <c r="G225" s="141">
        <f>D225*F225</f>
        <v>0.07666666666666666</v>
      </c>
    </row>
    <row r="226" spans="3:7" ht="15.75" thickBot="1">
      <c r="C226" s="135" t="s">
        <v>93</v>
      </c>
      <c r="D226" s="38" t="s">
        <v>193</v>
      </c>
      <c r="E226" s="39"/>
      <c r="F226" s="145" t="s">
        <v>198</v>
      </c>
      <c r="G226" s="76">
        <f>SUM(G227:G229)</f>
        <v>0.24342739748677247</v>
      </c>
    </row>
    <row r="227" spans="3:7" ht="15">
      <c r="C227" s="25" t="s">
        <v>191</v>
      </c>
      <c r="D227" s="70">
        <f>('TIEMPO P.P.'!$E$4+'TIEMPO P.P.'!$E$15)/2</f>
        <v>0.20666666666666667</v>
      </c>
      <c r="E227" s="70"/>
      <c r="F227" s="143">
        <f>IF(DATOS!$F$51=0,DATOS!$F$20,DATOS!$F$51)</f>
        <v>1.1778745039682539</v>
      </c>
      <c r="G227" s="141">
        <f>D227*$F$28</f>
        <v>0.24342739748677247</v>
      </c>
    </row>
    <row r="228" spans="3:7" ht="15">
      <c r="C228" s="27" t="s">
        <v>192</v>
      </c>
      <c r="D228" s="69">
        <f>D227</f>
        <v>0.20666666666666667</v>
      </c>
      <c r="E228" s="69"/>
      <c r="F228" s="141">
        <f>DATOS!$F$65/ORDEN!$D$34</f>
        <v>0</v>
      </c>
      <c r="G228" s="141">
        <f>D228*$F$29</f>
        <v>0</v>
      </c>
    </row>
    <row r="229" spans="3:7" ht="15.75" thickBot="1">
      <c r="C229" s="27"/>
      <c r="D229" s="27"/>
      <c r="E229" s="27"/>
      <c r="F229" s="141"/>
      <c r="G229" s="141">
        <f aca="true" t="shared" si="19" ref="G229">D229*F229</f>
        <v>0</v>
      </c>
    </row>
    <row r="230" spans="3:7" ht="17.25" thickBot="1" thickTop="1">
      <c r="C230" s="28"/>
      <c r="D230" s="543" t="s">
        <v>94</v>
      </c>
      <c r="E230" s="544"/>
      <c r="F230" s="545"/>
      <c r="G230" s="157">
        <f>G209+G219+G226</f>
        <v>1.266528461931217</v>
      </c>
    </row>
    <row r="231" ht="15.75" thickTop="1"/>
    <row r="234" spans="3:7" ht="19.5" thickBot="1">
      <c r="C234" s="546" t="str">
        <f>PLATOS!B16</f>
        <v>Tomate relleno camaron</v>
      </c>
      <c r="D234" s="546"/>
      <c r="E234" s="546"/>
      <c r="F234" s="546"/>
      <c r="G234" s="546"/>
    </row>
    <row r="235" spans="4:7" ht="15.75" thickBot="1">
      <c r="D235" s="31" t="s">
        <v>96</v>
      </c>
      <c r="E235" s="31"/>
      <c r="F235" s="146" t="s">
        <v>95</v>
      </c>
      <c r="G235" s="148" t="s">
        <v>97</v>
      </c>
    </row>
    <row r="236" spans="3:7" ht="15.75" thickBot="1">
      <c r="C236" s="547" t="s">
        <v>91</v>
      </c>
      <c r="D236" s="548"/>
      <c r="E236" s="548"/>
      <c r="F236" s="549"/>
      <c r="G236" s="156">
        <f>SUM(G237:G247)</f>
        <v>0.7919528200000003</v>
      </c>
    </row>
    <row r="237" spans="3:7" ht="15">
      <c r="C237" s="25" t="s">
        <v>338</v>
      </c>
      <c r="D237" s="42">
        <v>68</v>
      </c>
      <c r="E237" s="42" t="s">
        <v>284</v>
      </c>
      <c r="F237" s="143">
        <f>'LISTA DE PRODUCTOS'!$G$15</f>
        <v>0.007700000000000001</v>
      </c>
      <c r="G237" s="141">
        <f>D237*F237</f>
        <v>0.5236000000000001</v>
      </c>
    </row>
    <row r="238" spans="3:7" ht="15">
      <c r="C238" s="25" t="s">
        <v>263</v>
      </c>
      <c r="D238" s="42">
        <v>5</v>
      </c>
      <c r="E238" s="112" t="s">
        <v>284</v>
      </c>
      <c r="F238" s="143">
        <f>'LISTA DE PRODUCTOS'!$G$3</f>
        <v>0.00033</v>
      </c>
      <c r="G238" s="141">
        <f aca="true" t="shared" si="20" ref="G238:G247">D238*F238</f>
        <v>0.00165</v>
      </c>
    </row>
    <row r="239" spans="3:7" ht="15">
      <c r="C239" s="25" t="s">
        <v>265</v>
      </c>
      <c r="D239" s="42">
        <v>18</v>
      </c>
      <c r="E239" s="42" t="s">
        <v>284</v>
      </c>
      <c r="F239" s="143">
        <f>'LISTA DE PRODUCTOS'!$G$18</f>
        <v>0.0014666666666666667</v>
      </c>
      <c r="G239" s="141">
        <f t="shared" si="20"/>
        <v>0.0264</v>
      </c>
    </row>
    <row r="240" spans="3:7" ht="15">
      <c r="C240" s="25" t="s">
        <v>261</v>
      </c>
      <c r="D240" s="42">
        <v>46</v>
      </c>
      <c r="E240" s="42" t="s">
        <v>284</v>
      </c>
      <c r="F240" s="141">
        <f>'LISTA DE PRODUCTOS'!$G$20</f>
        <v>0.0022</v>
      </c>
      <c r="G240" s="141">
        <f t="shared" si="20"/>
        <v>0.10120000000000001</v>
      </c>
    </row>
    <row r="241" spans="3:7" ht="15">
      <c r="C241" s="25" t="s">
        <v>259</v>
      </c>
      <c r="D241" s="43">
        <v>9</v>
      </c>
      <c r="E241" s="43" t="s">
        <v>284</v>
      </c>
      <c r="F241" s="141">
        <f>'LISTA DE PRODUCTOS'!$G$35</f>
        <v>0.0022</v>
      </c>
      <c r="G241" s="141">
        <f t="shared" si="20"/>
        <v>0.0198</v>
      </c>
    </row>
    <row r="242" spans="3:7" ht="15">
      <c r="C242" s="27" t="s">
        <v>264</v>
      </c>
      <c r="D242" s="43">
        <v>0.25</v>
      </c>
      <c r="E242" s="43" t="s">
        <v>283</v>
      </c>
      <c r="F242" s="141">
        <f>'LISTA DE PRODUCTOS'!$G$36</f>
        <v>0.06</v>
      </c>
      <c r="G242" s="141">
        <f t="shared" si="20"/>
        <v>0.015</v>
      </c>
    </row>
    <row r="243" spans="3:7" ht="15">
      <c r="C243" s="27" t="s">
        <v>266</v>
      </c>
      <c r="D243" s="43">
        <v>8</v>
      </c>
      <c r="E243" s="43" t="s">
        <v>284</v>
      </c>
      <c r="F243" s="141">
        <f>'LISTA DE PRODUCTOS'!$G$43</f>
        <v>1.639E-05</v>
      </c>
      <c r="G243" s="141">
        <f t="shared" si="20"/>
        <v>0.00013112</v>
      </c>
    </row>
    <row r="244" spans="3:7" ht="15">
      <c r="C244" s="27" t="s">
        <v>260</v>
      </c>
      <c r="D244" s="43">
        <v>23</v>
      </c>
      <c r="E244" s="43" t="s">
        <v>284</v>
      </c>
      <c r="F244" s="141">
        <f>'LISTA DE PRODUCTOS'!$G$57</f>
        <v>0.0022</v>
      </c>
      <c r="G244" s="141">
        <f t="shared" si="20"/>
        <v>0.050600000000000006</v>
      </c>
    </row>
    <row r="245" spans="3:7" ht="15">
      <c r="C245" s="27" t="s">
        <v>262</v>
      </c>
      <c r="D245" s="43">
        <v>2.3</v>
      </c>
      <c r="E245" s="43" t="s">
        <v>284</v>
      </c>
      <c r="F245" s="141">
        <f>'LISTA DE PRODUCTOS'!$G$59</f>
        <v>0.0015400000000000001</v>
      </c>
      <c r="G245" s="141">
        <f t="shared" si="20"/>
        <v>0.003542</v>
      </c>
    </row>
    <row r="246" spans="3:7" ht="15">
      <c r="C246" s="27" t="s">
        <v>267</v>
      </c>
      <c r="D246" s="43">
        <v>3.95</v>
      </c>
      <c r="E246" s="43" t="s">
        <v>284</v>
      </c>
      <c r="F246" s="141">
        <f>'LISTA DE PRODUCTOS'!$G$61</f>
        <v>7.518987341772154E-06</v>
      </c>
      <c r="G246" s="141">
        <f t="shared" si="20"/>
        <v>2.9700000000000007E-05</v>
      </c>
    </row>
    <row r="247" spans="3:7" ht="15">
      <c r="C247" s="27" t="s">
        <v>337</v>
      </c>
      <c r="D247" s="43">
        <v>1</v>
      </c>
      <c r="E247" s="43" t="s">
        <v>283</v>
      </c>
      <c r="F247" s="141">
        <f>'LISTA DE PRODUCTOS'!$G$65</f>
        <v>0.05</v>
      </c>
      <c r="G247" s="141">
        <f t="shared" si="20"/>
        <v>0.05</v>
      </c>
    </row>
    <row r="248" spans="3:7" ht="15.75" thickBot="1">
      <c r="C248" s="2"/>
      <c r="D248" s="2"/>
      <c r="E248" s="2"/>
      <c r="F248" s="144"/>
      <c r="G248" s="144"/>
    </row>
    <row r="249" spans="3:7" ht="15.75" thickBot="1">
      <c r="C249" s="135" t="s">
        <v>92</v>
      </c>
      <c r="D249" s="38" t="s">
        <v>185</v>
      </c>
      <c r="E249" s="39"/>
      <c r="F249" s="145" t="s">
        <v>184</v>
      </c>
      <c r="G249" s="76">
        <f>SUM(G250:G255)</f>
        <v>0.20666666666666667</v>
      </c>
    </row>
    <row r="250" spans="3:7" ht="15">
      <c r="C250" s="41" t="s">
        <v>186</v>
      </c>
      <c r="D250" s="40"/>
      <c r="E250" s="40"/>
      <c r="F250" s="143"/>
      <c r="G250" s="141"/>
    </row>
    <row r="251" spans="3:7" ht="15">
      <c r="C251" s="25" t="s">
        <v>140</v>
      </c>
      <c r="D251" s="67">
        <f>'TIEMPO P.P.'!$F$4/'TIEMPO P.P.'!$H$3</f>
        <v>0.06933333333333333</v>
      </c>
      <c r="E251" s="67"/>
      <c r="F251" s="143">
        <f>IF(DATOS!$I$9&gt;0,(DATOS!$C$4*'TIEMPO P.P.'!$I$3)/240,0)</f>
        <v>0</v>
      </c>
      <c r="G251" s="141">
        <f>D251*F251</f>
        <v>0</v>
      </c>
    </row>
    <row r="252" spans="3:7" ht="15">
      <c r="C252" s="25" t="s">
        <v>78</v>
      </c>
      <c r="D252" s="67">
        <f>'TIEMPO P.P.'!$F$15/'TIEMPO P.P.'!$H$3</f>
        <v>0.040888888888888884</v>
      </c>
      <c r="E252" s="67"/>
      <c r="F252" s="143">
        <f>IF(DATOS!$J$9&gt;0,DATOS!$C$5*'TIEMPO P.P.'!$I$14/240,0)</f>
        <v>0</v>
      </c>
      <c r="G252" s="141">
        <f>F252*D252</f>
        <v>0</v>
      </c>
    </row>
    <row r="253" spans="3:7" ht="15">
      <c r="C253" s="41" t="s">
        <v>187</v>
      </c>
      <c r="D253" s="42"/>
      <c r="E253" s="42"/>
      <c r="F253" s="143"/>
      <c r="G253" s="141"/>
    </row>
    <row r="254" spans="3:7" ht="15">
      <c r="C254" s="27" t="s">
        <v>140</v>
      </c>
      <c r="D254" s="68">
        <f>D251</f>
        <v>0.06933333333333333</v>
      </c>
      <c r="E254" s="68"/>
      <c r="F254" s="141">
        <f>IF(DATOS!$I$14&gt;0,DATOS!$C$7*'TIEMPO P.P.'!$I$3/8,0)</f>
        <v>1.875</v>
      </c>
      <c r="G254" s="141">
        <f>D254*F254</f>
        <v>0.13</v>
      </c>
    </row>
    <row r="255" spans="3:7" ht="15.75" thickBot="1">
      <c r="C255" s="22" t="s">
        <v>78</v>
      </c>
      <c r="D255" s="71">
        <f>D252</f>
        <v>0.040888888888888884</v>
      </c>
      <c r="E255" s="71"/>
      <c r="F255" s="141">
        <f>IF(DATOS!$J$14&gt;0,DATOS!$C$8*'TIEMPO P.P.'!$I$14/8,0)</f>
        <v>1.875</v>
      </c>
      <c r="G255" s="141">
        <f>D255*F255</f>
        <v>0.07666666666666666</v>
      </c>
    </row>
    <row r="256" spans="3:7" ht="15.75" thickBot="1">
      <c r="C256" s="135" t="s">
        <v>93</v>
      </c>
      <c r="D256" s="38" t="s">
        <v>193</v>
      </c>
      <c r="E256" s="39"/>
      <c r="F256" s="145" t="s">
        <v>198</v>
      </c>
      <c r="G256" s="76">
        <f>SUM(G257:G259)</f>
        <v>0.24342739748677247</v>
      </c>
    </row>
    <row r="257" spans="3:7" ht="15">
      <c r="C257" s="25" t="s">
        <v>191</v>
      </c>
      <c r="D257" s="70">
        <f>('TIEMPO P.P.'!$E$4+'TIEMPO P.P.'!$E$15)/2</f>
        <v>0.20666666666666667</v>
      </c>
      <c r="E257" s="70"/>
      <c r="F257" s="143">
        <f>IF(DATOS!$F$51=0,DATOS!$F$20,DATOS!$F$51)</f>
        <v>1.1778745039682539</v>
      </c>
      <c r="G257" s="141">
        <f>D257*$F$28</f>
        <v>0.24342739748677247</v>
      </c>
    </row>
    <row r="258" spans="3:7" ht="15">
      <c r="C258" s="27" t="s">
        <v>192</v>
      </c>
      <c r="D258" s="69">
        <f>D257</f>
        <v>0.20666666666666667</v>
      </c>
      <c r="E258" s="69"/>
      <c r="F258" s="141">
        <f>DATOS!$F$65/ORDEN!$D$34</f>
        <v>0</v>
      </c>
      <c r="G258" s="141">
        <f>D258*$F$29</f>
        <v>0</v>
      </c>
    </row>
    <row r="259" spans="3:7" ht="15.75" thickBot="1">
      <c r="C259" s="27"/>
      <c r="D259" s="27"/>
      <c r="E259" s="27"/>
      <c r="F259" s="141"/>
      <c r="G259" s="141">
        <f aca="true" t="shared" si="21" ref="G259">D259*F259</f>
        <v>0</v>
      </c>
    </row>
    <row r="260" spans="3:7" ht="17.25" thickBot="1" thickTop="1">
      <c r="C260" s="28"/>
      <c r="D260" s="543" t="s">
        <v>94</v>
      </c>
      <c r="E260" s="544"/>
      <c r="F260" s="545"/>
      <c r="G260" s="157">
        <f>G236+G249+G256</f>
        <v>1.2420468841534396</v>
      </c>
    </row>
    <row r="261" ht="15.75" thickTop="1"/>
    <row r="263" spans="3:7" ht="19.5" thickBot="1">
      <c r="C263" s="546" t="str">
        <f>PLATOS!B17</f>
        <v>COSTO-ENTRADAS'!C198</v>
      </c>
      <c r="D263" s="546"/>
      <c r="E263" s="546"/>
      <c r="F263" s="546"/>
      <c r="G263" s="546"/>
    </row>
    <row r="264" spans="4:7" ht="15.75" thickBot="1">
      <c r="D264" s="31" t="s">
        <v>96</v>
      </c>
      <c r="E264" s="31"/>
      <c r="F264" s="146" t="s">
        <v>95</v>
      </c>
      <c r="G264" s="148" t="s">
        <v>97</v>
      </c>
    </row>
    <row r="265" spans="3:7" ht="15.75" thickBot="1">
      <c r="C265" s="547" t="s">
        <v>91</v>
      </c>
      <c r="D265" s="548"/>
      <c r="E265" s="548"/>
      <c r="F265" s="549"/>
      <c r="G265" s="149">
        <f>SUM(G266:G272)</f>
        <v>0</v>
      </c>
    </row>
    <row r="266" spans="3:7" ht="15">
      <c r="C266" s="25"/>
      <c r="D266" s="25"/>
      <c r="E266" s="25"/>
      <c r="F266" s="143"/>
      <c r="G266" s="141">
        <f>D266*F266</f>
        <v>0</v>
      </c>
    </row>
    <row r="267" spans="3:7" ht="15">
      <c r="C267" s="27"/>
      <c r="D267" s="27"/>
      <c r="E267" s="27"/>
      <c r="F267" s="141"/>
      <c r="G267" s="141">
        <f aca="true" t="shared" si="22" ref="G267:G272">D267*F267</f>
        <v>0</v>
      </c>
    </row>
    <row r="268" spans="3:7" ht="15">
      <c r="C268" s="27"/>
      <c r="D268" s="27"/>
      <c r="E268" s="27"/>
      <c r="F268" s="141"/>
      <c r="G268" s="141">
        <f t="shared" si="22"/>
        <v>0</v>
      </c>
    </row>
    <row r="269" spans="3:7" ht="15">
      <c r="C269" s="27"/>
      <c r="D269" s="27"/>
      <c r="E269" s="27"/>
      <c r="F269" s="141"/>
      <c r="G269" s="141">
        <f t="shared" si="22"/>
        <v>0</v>
      </c>
    </row>
    <row r="270" spans="3:7" ht="15">
      <c r="C270" s="27"/>
      <c r="D270" s="27"/>
      <c r="E270" s="27"/>
      <c r="F270" s="141"/>
      <c r="G270" s="141">
        <f t="shared" si="22"/>
        <v>0</v>
      </c>
    </row>
    <row r="271" spans="3:7" ht="15">
      <c r="C271" s="27"/>
      <c r="D271" s="27"/>
      <c r="E271" s="27"/>
      <c r="F271" s="141"/>
      <c r="G271" s="141">
        <f t="shared" si="22"/>
        <v>0</v>
      </c>
    </row>
    <row r="272" spans="3:7" ht="15.75" thickBot="1">
      <c r="C272" s="22"/>
      <c r="D272" s="22"/>
      <c r="E272" s="22"/>
      <c r="F272" s="147"/>
      <c r="G272" s="141">
        <f t="shared" si="22"/>
        <v>0</v>
      </c>
    </row>
    <row r="273" spans="3:7" ht="15.75" thickBot="1">
      <c r="C273" s="135" t="s">
        <v>92</v>
      </c>
      <c r="D273" s="38" t="s">
        <v>185</v>
      </c>
      <c r="E273" s="39"/>
      <c r="F273" s="145" t="s">
        <v>184</v>
      </c>
      <c r="G273" s="150">
        <f>SUM(G274:G279)</f>
        <v>0.20666666666666667</v>
      </c>
    </row>
    <row r="274" spans="3:7" ht="15">
      <c r="C274" s="41" t="s">
        <v>186</v>
      </c>
      <c r="D274" s="40"/>
      <c r="E274" s="40"/>
      <c r="F274" s="143"/>
      <c r="G274" s="141"/>
    </row>
    <row r="275" spans="3:7" ht="15">
      <c r="C275" s="25" t="s">
        <v>140</v>
      </c>
      <c r="D275" s="67">
        <f>'TIEMPO P.P.'!$F$4/'TIEMPO P.P.'!$H$3</f>
        <v>0.06933333333333333</v>
      </c>
      <c r="E275" s="67"/>
      <c r="F275" s="143">
        <f>IF(DATOS!$I$9&gt;0,(DATOS!$C$4*'TIEMPO P.P.'!$I$3)/240,0)</f>
        <v>0</v>
      </c>
      <c r="G275" s="141">
        <f>D275*F275</f>
        <v>0</v>
      </c>
    </row>
    <row r="276" spans="3:7" ht="15">
      <c r="C276" s="25" t="s">
        <v>78</v>
      </c>
      <c r="D276" s="67">
        <f>'TIEMPO P.P.'!$F$15/'TIEMPO P.P.'!$H$3</f>
        <v>0.040888888888888884</v>
      </c>
      <c r="E276" s="67"/>
      <c r="F276" s="143">
        <f>IF(DATOS!$J$9&gt;0,DATOS!$C$5*'TIEMPO P.P.'!$I$14/240,0)</f>
        <v>0</v>
      </c>
      <c r="G276" s="141">
        <f>F276*D276</f>
        <v>0</v>
      </c>
    </row>
    <row r="277" spans="3:7" ht="15">
      <c r="C277" s="41" t="s">
        <v>187</v>
      </c>
      <c r="D277" s="42"/>
      <c r="E277" s="42"/>
      <c r="F277" s="143"/>
      <c r="G277" s="141"/>
    </row>
    <row r="278" spans="3:7" ht="15">
      <c r="C278" s="27" t="s">
        <v>140</v>
      </c>
      <c r="D278" s="68">
        <f>D275</f>
        <v>0.06933333333333333</v>
      </c>
      <c r="E278" s="68"/>
      <c r="F278" s="141">
        <f>IF(DATOS!$I$14&gt;0,DATOS!$C$7*'TIEMPO P.P.'!$I$3/8,0)</f>
        <v>1.875</v>
      </c>
      <c r="G278" s="141">
        <f>D278*F278</f>
        <v>0.13</v>
      </c>
    </row>
    <row r="279" spans="3:7" ht="15.75" thickBot="1">
      <c r="C279" s="22" t="s">
        <v>78</v>
      </c>
      <c r="D279" s="71">
        <f>D276</f>
        <v>0.040888888888888884</v>
      </c>
      <c r="E279" s="71"/>
      <c r="F279" s="141">
        <f>IF(DATOS!$J$14&gt;0,DATOS!$C$8*'TIEMPO P.P.'!$I$14/8,0)</f>
        <v>1.875</v>
      </c>
      <c r="G279" s="141">
        <f>D279*F279</f>
        <v>0.07666666666666666</v>
      </c>
    </row>
    <row r="280" spans="3:7" ht="15.75" thickBot="1">
      <c r="C280" s="135" t="s">
        <v>93</v>
      </c>
      <c r="D280" s="38" t="s">
        <v>193</v>
      </c>
      <c r="E280" s="39"/>
      <c r="F280" s="145" t="s">
        <v>198</v>
      </c>
      <c r="G280" s="150">
        <f>SUM(G281:G283)</f>
        <v>0.24342739748677247</v>
      </c>
    </row>
    <row r="281" spans="3:7" ht="15">
      <c r="C281" s="25" t="s">
        <v>191</v>
      </c>
      <c r="D281" s="70">
        <f>('TIEMPO P.P.'!$E$4+'TIEMPO P.P.'!$E$15)/2</f>
        <v>0.20666666666666667</v>
      </c>
      <c r="E281" s="70"/>
      <c r="F281" s="143">
        <f>IF(DATOS!$F$51=0,DATOS!$F$20,DATOS!$F$51)</f>
        <v>1.1778745039682539</v>
      </c>
      <c r="G281" s="141">
        <f>D281*$F$28</f>
        <v>0.24342739748677247</v>
      </c>
    </row>
    <row r="282" spans="3:7" ht="15">
      <c r="C282" s="27" t="s">
        <v>192</v>
      </c>
      <c r="D282" s="69">
        <f>D281</f>
        <v>0.20666666666666667</v>
      </c>
      <c r="E282" s="69"/>
      <c r="F282" s="141">
        <f>DATOS!$F$65/ORDEN!$D$34</f>
        <v>0</v>
      </c>
      <c r="G282" s="141">
        <f>D282*$F$29</f>
        <v>0</v>
      </c>
    </row>
    <row r="283" spans="3:7" ht="15.75" thickBot="1">
      <c r="C283" s="27"/>
      <c r="D283" s="27"/>
      <c r="E283" s="27"/>
      <c r="F283" s="141"/>
      <c r="G283" s="141">
        <f aca="true" t="shared" si="23" ref="G283">D283*F283</f>
        <v>0</v>
      </c>
    </row>
    <row r="284" spans="3:7" ht="17.25" thickBot="1" thickTop="1">
      <c r="C284" s="28"/>
      <c r="D284" s="543" t="s">
        <v>94</v>
      </c>
      <c r="E284" s="544"/>
      <c r="F284" s="545"/>
      <c r="G284" s="151">
        <f>G265+G273+G280</f>
        <v>0.4500940641534391</v>
      </c>
    </row>
    <row r="285" ht="15.75" thickTop="1"/>
    <row r="288" spans="3:7" ht="19.5" thickBot="1">
      <c r="C288" s="546" t="str">
        <f>PLATOS!B18</f>
        <v>COSTO-ENTRADAS'!C220</v>
      </c>
      <c r="D288" s="546"/>
      <c r="E288" s="546"/>
      <c r="F288" s="546"/>
      <c r="G288" s="546"/>
    </row>
    <row r="289" spans="4:7" ht="15.75" thickBot="1">
      <c r="D289" s="31" t="s">
        <v>96</v>
      </c>
      <c r="E289" s="31"/>
      <c r="F289" s="146" t="s">
        <v>95</v>
      </c>
      <c r="G289" s="148" t="s">
        <v>97</v>
      </c>
    </row>
    <row r="290" spans="3:7" ht="15.75" thickBot="1">
      <c r="C290" s="547" t="s">
        <v>91</v>
      </c>
      <c r="D290" s="548"/>
      <c r="E290" s="548"/>
      <c r="F290" s="549"/>
      <c r="G290" s="149">
        <f>SUM(G291:G297)</f>
        <v>0</v>
      </c>
    </row>
    <row r="291" spans="3:7" ht="15">
      <c r="C291" s="25"/>
      <c r="D291" s="25"/>
      <c r="E291" s="25"/>
      <c r="F291" s="143"/>
      <c r="G291" s="141">
        <f>D291*F291</f>
        <v>0</v>
      </c>
    </row>
    <row r="292" spans="3:7" ht="15">
      <c r="C292" s="27"/>
      <c r="D292" s="27"/>
      <c r="E292" s="27"/>
      <c r="F292" s="141"/>
      <c r="G292" s="141">
        <f aca="true" t="shared" si="24" ref="G292:G297">D292*F292</f>
        <v>0</v>
      </c>
    </row>
    <row r="293" spans="3:7" ht="15">
      <c r="C293" s="27"/>
      <c r="D293" s="27"/>
      <c r="E293" s="27"/>
      <c r="F293" s="141"/>
      <c r="G293" s="141">
        <f t="shared" si="24"/>
        <v>0</v>
      </c>
    </row>
    <row r="294" spans="3:7" ht="15">
      <c r="C294" s="27"/>
      <c r="D294" s="27"/>
      <c r="E294" s="27"/>
      <c r="F294" s="141"/>
      <c r="G294" s="141">
        <f t="shared" si="24"/>
        <v>0</v>
      </c>
    </row>
    <row r="295" spans="3:7" ht="15">
      <c r="C295" s="27"/>
      <c r="D295" s="27"/>
      <c r="E295" s="27"/>
      <c r="F295" s="141"/>
      <c r="G295" s="141">
        <f t="shared" si="24"/>
        <v>0</v>
      </c>
    </row>
    <row r="296" spans="3:7" ht="15">
      <c r="C296" s="27"/>
      <c r="D296" s="27"/>
      <c r="E296" s="27"/>
      <c r="F296" s="141"/>
      <c r="G296" s="141">
        <f t="shared" si="24"/>
        <v>0</v>
      </c>
    </row>
    <row r="297" spans="3:7" ht="15.75" thickBot="1">
      <c r="C297" s="22"/>
      <c r="D297" s="22"/>
      <c r="E297" s="22"/>
      <c r="F297" s="147"/>
      <c r="G297" s="141">
        <f t="shared" si="24"/>
        <v>0</v>
      </c>
    </row>
    <row r="298" spans="3:7" ht="15.75" thickBot="1">
      <c r="C298" s="135" t="s">
        <v>92</v>
      </c>
      <c r="D298" s="38" t="s">
        <v>185</v>
      </c>
      <c r="E298" s="39"/>
      <c r="F298" s="145" t="s">
        <v>184</v>
      </c>
      <c r="G298" s="150">
        <f>SUM(G299:G304)</f>
        <v>0.20666666666666667</v>
      </c>
    </row>
    <row r="299" spans="3:7" ht="15">
      <c r="C299" s="41" t="s">
        <v>186</v>
      </c>
      <c r="D299" s="40"/>
      <c r="E299" s="40"/>
      <c r="F299" s="143"/>
      <c r="G299" s="141"/>
    </row>
    <row r="300" spans="3:7" ht="15">
      <c r="C300" s="25" t="s">
        <v>140</v>
      </c>
      <c r="D300" s="67">
        <f>'TIEMPO P.P.'!$F$4/'TIEMPO P.P.'!$H$3</f>
        <v>0.06933333333333333</v>
      </c>
      <c r="E300" s="67"/>
      <c r="F300" s="143">
        <f>IF(DATOS!$I$9&gt;0,(DATOS!$C$4*'TIEMPO P.P.'!$I$3)/240,0)</f>
        <v>0</v>
      </c>
      <c r="G300" s="141">
        <f>D300*F300</f>
        <v>0</v>
      </c>
    </row>
    <row r="301" spans="3:7" ht="15">
      <c r="C301" s="25" t="s">
        <v>78</v>
      </c>
      <c r="D301" s="67">
        <f>'TIEMPO P.P.'!$F$15/'TIEMPO P.P.'!$H$3</f>
        <v>0.040888888888888884</v>
      </c>
      <c r="E301" s="67"/>
      <c r="F301" s="143">
        <f>IF(DATOS!$J$9&gt;0,DATOS!$C$5*'TIEMPO P.P.'!$I$14/240,0)</f>
        <v>0</v>
      </c>
      <c r="G301" s="141">
        <f>F301*D301</f>
        <v>0</v>
      </c>
    </row>
    <row r="302" spans="3:7" ht="15">
      <c r="C302" s="41" t="s">
        <v>187</v>
      </c>
      <c r="D302" s="42"/>
      <c r="E302" s="42"/>
      <c r="F302" s="143"/>
      <c r="G302" s="141"/>
    </row>
    <row r="303" spans="3:7" ht="15">
      <c r="C303" s="27" t="s">
        <v>140</v>
      </c>
      <c r="D303" s="68">
        <f>D300</f>
        <v>0.06933333333333333</v>
      </c>
      <c r="E303" s="68"/>
      <c r="F303" s="141">
        <f>IF(DATOS!$I$14&gt;0,DATOS!$C$7*'TIEMPO P.P.'!$I$3/8,0)</f>
        <v>1.875</v>
      </c>
      <c r="G303" s="141">
        <f>D303*F303</f>
        <v>0.13</v>
      </c>
    </row>
    <row r="304" spans="3:7" ht="15.75" thickBot="1">
      <c r="C304" s="22" t="s">
        <v>78</v>
      </c>
      <c r="D304" s="71">
        <f>D301</f>
        <v>0.040888888888888884</v>
      </c>
      <c r="E304" s="71"/>
      <c r="F304" s="141">
        <f>IF(DATOS!$J$14&gt;0,DATOS!$C$8*'TIEMPO P.P.'!$I$14/8,0)</f>
        <v>1.875</v>
      </c>
      <c r="G304" s="141">
        <f>D304*F304</f>
        <v>0.07666666666666666</v>
      </c>
    </row>
    <row r="305" spans="3:7" ht="15.75" thickBot="1">
      <c r="C305" s="135" t="s">
        <v>93</v>
      </c>
      <c r="D305" s="38" t="s">
        <v>193</v>
      </c>
      <c r="E305" s="39"/>
      <c r="F305" s="145" t="s">
        <v>198</v>
      </c>
      <c r="G305" s="150">
        <f>SUM(G306:G308)</f>
        <v>0.24342739748677247</v>
      </c>
    </row>
    <row r="306" spans="3:7" ht="15">
      <c r="C306" s="25" t="s">
        <v>191</v>
      </c>
      <c r="D306" s="70">
        <f>('TIEMPO P.P.'!$E$4+'TIEMPO P.P.'!$E$15)/2</f>
        <v>0.20666666666666667</v>
      </c>
      <c r="E306" s="70"/>
      <c r="F306" s="143">
        <f>IF(DATOS!$F$51=0,DATOS!$F$20,DATOS!$F$51)</f>
        <v>1.1778745039682539</v>
      </c>
      <c r="G306" s="141">
        <f>D306*$F$28</f>
        <v>0.24342739748677247</v>
      </c>
    </row>
    <row r="307" spans="3:7" ht="15">
      <c r="C307" s="27" t="s">
        <v>192</v>
      </c>
      <c r="D307" s="69">
        <f>D306</f>
        <v>0.20666666666666667</v>
      </c>
      <c r="E307" s="69"/>
      <c r="F307" s="141">
        <f>DATOS!$F$65/ORDEN!$D$34</f>
        <v>0</v>
      </c>
      <c r="G307" s="141">
        <f>D307*$F$29</f>
        <v>0</v>
      </c>
    </row>
    <row r="308" spans="3:7" ht="15.75" thickBot="1">
      <c r="C308" s="27"/>
      <c r="D308" s="27"/>
      <c r="E308" s="27"/>
      <c r="F308" s="141"/>
      <c r="G308" s="141">
        <f aca="true" t="shared" si="25" ref="G308">D308*F308</f>
        <v>0</v>
      </c>
    </row>
    <row r="309" spans="3:7" ht="17.25" thickBot="1" thickTop="1">
      <c r="C309" s="28"/>
      <c r="D309" s="543" t="s">
        <v>94</v>
      </c>
      <c r="E309" s="544"/>
      <c r="F309" s="545"/>
      <c r="G309" s="151">
        <f>G290+G298+G305</f>
        <v>0.4500940641534391</v>
      </c>
    </row>
    <row r="310" ht="15.75" thickTop="1"/>
    <row r="312" spans="3:7" ht="19.5" thickBot="1">
      <c r="C312" s="546" t="str">
        <f>PLATOS!B19</f>
        <v>COSTO-ENTRADAS'!C241</v>
      </c>
      <c r="D312" s="546"/>
      <c r="E312" s="546"/>
      <c r="F312" s="546"/>
      <c r="G312" s="546"/>
    </row>
    <row r="313" spans="4:7" ht="15.75" thickBot="1">
      <c r="D313" s="31" t="s">
        <v>96</v>
      </c>
      <c r="E313" s="31"/>
      <c r="F313" s="146" t="s">
        <v>95</v>
      </c>
      <c r="G313" s="148" t="s">
        <v>97</v>
      </c>
    </row>
    <row r="314" spans="3:7" ht="15.75" thickBot="1">
      <c r="C314" s="547" t="s">
        <v>91</v>
      </c>
      <c r="D314" s="548"/>
      <c r="E314" s="548"/>
      <c r="F314" s="549"/>
      <c r="G314" s="149">
        <f>SUM(G315:G321)</f>
        <v>0</v>
      </c>
    </row>
    <row r="315" spans="3:7" ht="15">
      <c r="C315" s="25"/>
      <c r="D315" s="25"/>
      <c r="E315" s="25"/>
      <c r="F315" s="143"/>
      <c r="G315" s="141">
        <f>D315*F315</f>
        <v>0</v>
      </c>
    </row>
    <row r="316" spans="3:7" ht="15">
      <c r="C316" s="27"/>
      <c r="D316" s="27"/>
      <c r="E316" s="27"/>
      <c r="F316" s="141"/>
      <c r="G316" s="141">
        <f aca="true" t="shared" si="26" ref="G316:G321">D316*F316</f>
        <v>0</v>
      </c>
    </row>
    <row r="317" spans="3:7" ht="15">
      <c r="C317" s="27"/>
      <c r="D317" s="27"/>
      <c r="E317" s="27"/>
      <c r="F317" s="141"/>
      <c r="G317" s="141">
        <f t="shared" si="26"/>
        <v>0</v>
      </c>
    </row>
    <row r="318" spans="3:7" ht="15">
      <c r="C318" s="27"/>
      <c r="D318" s="27"/>
      <c r="E318" s="27"/>
      <c r="F318" s="141"/>
      <c r="G318" s="141">
        <f t="shared" si="26"/>
        <v>0</v>
      </c>
    </row>
    <row r="319" spans="3:7" ht="15">
      <c r="C319" s="27"/>
      <c r="D319" s="27"/>
      <c r="E319" s="27"/>
      <c r="F319" s="141"/>
      <c r="G319" s="141">
        <f t="shared" si="26"/>
        <v>0</v>
      </c>
    </row>
    <row r="320" spans="3:7" ht="15">
      <c r="C320" s="27"/>
      <c r="D320" s="27"/>
      <c r="E320" s="27"/>
      <c r="F320" s="141"/>
      <c r="G320" s="141">
        <f t="shared" si="26"/>
        <v>0</v>
      </c>
    </row>
    <row r="321" spans="3:7" ht="15.75" thickBot="1">
      <c r="C321" s="22"/>
      <c r="D321" s="22"/>
      <c r="E321" s="22"/>
      <c r="F321" s="147"/>
      <c r="G321" s="141">
        <f t="shared" si="26"/>
        <v>0</v>
      </c>
    </row>
    <row r="322" spans="3:7" ht="15.75" thickBot="1">
      <c r="C322" s="135" t="s">
        <v>92</v>
      </c>
      <c r="D322" s="38" t="s">
        <v>185</v>
      </c>
      <c r="E322" s="39"/>
      <c r="F322" s="145" t="s">
        <v>184</v>
      </c>
      <c r="G322" s="150">
        <f>SUM(G323:G328)</f>
        <v>0.20666666666666667</v>
      </c>
    </row>
    <row r="323" spans="3:7" ht="15">
      <c r="C323" s="41" t="s">
        <v>186</v>
      </c>
      <c r="D323" s="40"/>
      <c r="E323" s="40"/>
      <c r="F323" s="143"/>
      <c r="G323" s="141"/>
    </row>
    <row r="324" spans="3:7" ht="15">
      <c r="C324" s="25" t="s">
        <v>140</v>
      </c>
      <c r="D324" s="67">
        <f>'TIEMPO P.P.'!$F$4/'TIEMPO P.P.'!$H$3</f>
        <v>0.06933333333333333</v>
      </c>
      <c r="E324" s="67"/>
      <c r="F324" s="143">
        <f>IF(DATOS!$I$9&gt;0,(DATOS!$C$4*'TIEMPO P.P.'!$I$3)/240,0)</f>
        <v>0</v>
      </c>
      <c r="G324" s="141">
        <f>D324*F324</f>
        <v>0</v>
      </c>
    </row>
    <row r="325" spans="3:7" ht="15">
      <c r="C325" s="25" t="s">
        <v>78</v>
      </c>
      <c r="D325" s="67">
        <f>'TIEMPO P.P.'!$F$15/'TIEMPO P.P.'!$H$3</f>
        <v>0.040888888888888884</v>
      </c>
      <c r="E325" s="67"/>
      <c r="F325" s="143">
        <f>IF(DATOS!$J$9&gt;0,DATOS!$C$5*'TIEMPO P.P.'!$I$14/240,0)</f>
        <v>0</v>
      </c>
      <c r="G325" s="141">
        <f>F325*D325</f>
        <v>0</v>
      </c>
    </row>
    <row r="326" spans="3:7" ht="15">
      <c r="C326" s="41" t="s">
        <v>187</v>
      </c>
      <c r="D326" s="42"/>
      <c r="E326" s="42"/>
      <c r="F326" s="143"/>
      <c r="G326" s="141"/>
    </row>
    <row r="327" spans="3:7" ht="15">
      <c r="C327" s="27" t="s">
        <v>140</v>
      </c>
      <c r="D327" s="68">
        <f>D324</f>
        <v>0.06933333333333333</v>
      </c>
      <c r="E327" s="68"/>
      <c r="F327" s="141">
        <f>IF(DATOS!$I$14&gt;0,DATOS!$C$7*'TIEMPO P.P.'!$I$3/8,0)</f>
        <v>1.875</v>
      </c>
      <c r="G327" s="141">
        <f>D327*F327</f>
        <v>0.13</v>
      </c>
    </row>
    <row r="328" spans="3:7" ht="15.75" thickBot="1">
      <c r="C328" s="22" t="s">
        <v>78</v>
      </c>
      <c r="D328" s="71">
        <f>D325</f>
        <v>0.040888888888888884</v>
      </c>
      <c r="E328" s="71"/>
      <c r="F328" s="141">
        <f>IF(DATOS!$J$14&gt;0,DATOS!$C$8*'TIEMPO P.P.'!$I$14/8,0)</f>
        <v>1.875</v>
      </c>
      <c r="G328" s="141">
        <f>D328*F328</f>
        <v>0.07666666666666666</v>
      </c>
    </row>
    <row r="329" spans="3:7" ht="15.75" thickBot="1">
      <c r="C329" s="135" t="s">
        <v>93</v>
      </c>
      <c r="D329" s="38" t="s">
        <v>193</v>
      </c>
      <c r="E329" s="39"/>
      <c r="F329" s="145" t="s">
        <v>198</v>
      </c>
      <c r="G329" s="150">
        <f>SUM(G330:G332)</f>
        <v>0.24342739748677247</v>
      </c>
    </row>
    <row r="330" spans="3:7" ht="15">
      <c r="C330" s="25" t="s">
        <v>191</v>
      </c>
      <c r="D330" s="70">
        <f>('TIEMPO P.P.'!$E$4+'TIEMPO P.P.'!$E$15)/2</f>
        <v>0.20666666666666667</v>
      </c>
      <c r="E330" s="70"/>
      <c r="F330" s="143">
        <f>IF(DATOS!$F$51=0,DATOS!$F$20,DATOS!$F$51)</f>
        <v>1.1778745039682539</v>
      </c>
      <c r="G330" s="141">
        <f>D330*$F$28</f>
        <v>0.24342739748677247</v>
      </c>
    </row>
    <row r="331" spans="3:7" ht="15">
      <c r="C331" s="27" t="s">
        <v>192</v>
      </c>
      <c r="D331" s="69">
        <f>D330</f>
        <v>0.20666666666666667</v>
      </c>
      <c r="E331" s="69"/>
      <c r="F331" s="141">
        <f>DATOS!$F$65/ORDEN!$D$34</f>
        <v>0</v>
      </c>
      <c r="G331" s="141">
        <f>D331*$F$29</f>
        <v>0</v>
      </c>
    </row>
    <row r="332" spans="3:7" ht="15.75" thickBot="1">
      <c r="C332" s="27"/>
      <c r="D332" s="27"/>
      <c r="E332" s="27"/>
      <c r="F332" s="141"/>
      <c r="G332" s="141">
        <f aca="true" t="shared" si="27" ref="G332">D332*F332</f>
        <v>0</v>
      </c>
    </row>
    <row r="333" spans="3:7" ht="17.25" thickBot="1" thickTop="1">
      <c r="C333" s="28"/>
      <c r="D333" s="543" t="s">
        <v>94</v>
      </c>
      <c r="E333" s="544"/>
      <c r="F333" s="545"/>
      <c r="G333" s="151">
        <f>G314+G322+G329</f>
        <v>0.4500940641534391</v>
      </c>
    </row>
    <row r="334" ht="15.75" thickTop="1"/>
    <row r="337" spans="3:7" ht="19.5" thickBot="1">
      <c r="C337" s="546" t="str">
        <f>PLATOS!B20</f>
        <v>COSTO-ENTRADAS'!C263</v>
      </c>
      <c r="D337" s="546"/>
      <c r="E337" s="546"/>
      <c r="F337" s="546"/>
      <c r="G337" s="546"/>
    </row>
    <row r="338" spans="4:7" ht="15.75" thickBot="1">
      <c r="D338" s="31" t="s">
        <v>96</v>
      </c>
      <c r="E338" s="31"/>
      <c r="F338" s="146" t="s">
        <v>95</v>
      </c>
      <c r="G338" s="148" t="s">
        <v>97</v>
      </c>
    </row>
    <row r="339" spans="3:7" ht="15.75" thickBot="1">
      <c r="C339" s="547" t="s">
        <v>91</v>
      </c>
      <c r="D339" s="548"/>
      <c r="E339" s="548"/>
      <c r="F339" s="549"/>
      <c r="G339" s="149">
        <f>SUM(G340:G346)</f>
        <v>0</v>
      </c>
    </row>
    <row r="340" spans="3:7" ht="15">
      <c r="C340" s="25"/>
      <c r="D340" s="25"/>
      <c r="E340" s="25"/>
      <c r="F340" s="143"/>
      <c r="G340" s="141">
        <f>D340*F340</f>
        <v>0</v>
      </c>
    </row>
    <row r="341" spans="3:7" ht="15">
      <c r="C341" s="27"/>
      <c r="D341" s="27"/>
      <c r="E341" s="27"/>
      <c r="F341" s="141"/>
      <c r="G341" s="141">
        <f aca="true" t="shared" si="28" ref="G341:G346">D341*F341</f>
        <v>0</v>
      </c>
    </row>
    <row r="342" spans="3:7" ht="15">
      <c r="C342" s="27"/>
      <c r="D342" s="27"/>
      <c r="E342" s="27"/>
      <c r="F342" s="141"/>
      <c r="G342" s="141">
        <f t="shared" si="28"/>
        <v>0</v>
      </c>
    </row>
    <row r="343" spans="3:7" ht="15">
      <c r="C343" s="27"/>
      <c r="D343" s="27"/>
      <c r="E343" s="27"/>
      <c r="F343" s="141"/>
      <c r="G343" s="141">
        <f t="shared" si="28"/>
        <v>0</v>
      </c>
    </row>
    <row r="344" spans="3:7" ht="15">
      <c r="C344" s="27"/>
      <c r="D344" s="27"/>
      <c r="E344" s="27"/>
      <c r="F344" s="141"/>
      <c r="G344" s="141">
        <f t="shared" si="28"/>
        <v>0</v>
      </c>
    </row>
    <row r="345" spans="3:7" ht="15">
      <c r="C345" s="27"/>
      <c r="D345" s="27"/>
      <c r="E345" s="27"/>
      <c r="F345" s="141"/>
      <c r="G345" s="141">
        <f t="shared" si="28"/>
        <v>0</v>
      </c>
    </row>
    <row r="346" spans="3:7" ht="15.75" thickBot="1">
      <c r="C346" s="22"/>
      <c r="D346" s="22"/>
      <c r="E346" s="22"/>
      <c r="F346" s="147"/>
      <c r="G346" s="141">
        <f t="shared" si="28"/>
        <v>0</v>
      </c>
    </row>
    <row r="347" spans="3:7" ht="15.75" thickBot="1">
      <c r="C347" s="135" t="s">
        <v>92</v>
      </c>
      <c r="D347" s="38" t="s">
        <v>185</v>
      </c>
      <c r="E347" s="39"/>
      <c r="F347" s="145" t="s">
        <v>184</v>
      </c>
      <c r="G347" s="150">
        <f>SUM(G348:G353)</f>
        <v>0.20666666666666667</v>
      </c>
    </row>
    <row r="348" spans="3:7" ht="15">
      <c r="C348" s="41" t="s">
        <v>186</v>
      </c>
      <c r="D348" s="40"/>
      <c r="E348" s="40"/>
      <c r="F348" s="143"/>
      <c r="G348" s="141"/>
    </row>
    <row r="349" spans="3:7" ht="15">
      <c r="C349" s="25" t="s">
        <v>140</v>
      </c>
      <c r="D349" s="67">
        <f>'TIEMPO P.P.'!$F$4/'TIEMPO P.P.'!$H$3</f>
        <v>0.06933333333333333</v>
      </c>
      <c r="E349" s="67"/>
      <c r="F349" s="143">
        <f>IF(DATOS!$I$9&gt;0,(DATOS!$C$4*'TIEMPO P.P.'!$I$3)/240,0)</f>
        <v>0</v>
      </c>
      <c r="G349" s="141">
        <f>D349*F349</f>
        <v>0</v>
      </c>
    </row>
    <row r="350" spans="3:7" ht="15">
      <c r="C350" s="25" t="s">
        <v>78</v>
      </c>
      <c r="D350" s="67">
        <f>'TIEMPO P.P.'!$F$15/'TIEMPO P.P.'!$H$3</f>
        <v>0.040888888888888884</v>
      </c>
      <c r="E350" s="67"/>
      <c r="F350" s="143">
        <f>IF(DATOS!$J$9&gt;0,DATOS!$C$5*'TIEMPO P.P.'!$I$14/240,0)</f>
        <v>0</v>
      </c>
      <c r="G350" s="141">
        <f>F350*D350</f>
        <v>0</v>
      </c>
    </row>
    <row r="351" spans="3:7" ht="15">
      <c r="C351" s="41" t="s">
        <v>187</v>
      </c>
      <c r="D351" s="42"/>
      <c r="E351" s="42"/>
      <c r="F351" s="143"/>
      <c r="G351" s="141"/>
    </row>
    <row r="352" spans="3:7" ht="15">
      <c r="C352" s="27" t="s">
        <v>140</v>
      </c>
      <c r="D352" s="68">
        <f>D349</f>
        <v>0.06933333333333333</v>
      </c>
      <c r="E352" s="68"/>
      <c r="F352" s="141">
        <f>IF(DATOS!$I$14&gt;0,DATOS!$C$7*'TIEMPO P.P.'!$I$3/8,0)</f>
        <v>1.875</v>
      </c>
      <c r="G352" s="141">
        <f>D352*F352</f>
        <v>0.13</v>
      </c>
    </row>
    <row r="353" spans="3:7" ht="15.75" thickBot="1">
      <c r="C353" s="22" t="s">
        <v>78</v>
      </c>
      <c r="D353" s="71">
        <f>D350</f>
        <v>0.040888888888888884</v>
      </c>
      <c r="E353" s="71"/>
      <c r="F353" s="141">
        <f>IF(DATOS!$J$14&gt;0,DATOS!$C$8*'TIEMPO P.P.'!$I$14/8,0)</f>
        <v>1.875</v>
      </c>
      <c r="G353" s="141">
        <f>D353*F353</f>
        <v>0.07666666666666666</v>
      </c>
    </row>
    <row r="354" spans="3:7" ht="15.75" thickBot="1">
      <c r="C354" s="135" t="s">
        <v>93</v>
      </c>
      <c r="D354" s="38" t="s">
        <v>193</v>
      </c>
      <c r="E354" s="39"/>
      <c r="F354" s="145" t="s">
        <v>198</v>
      </c>
      <c r="G354" s="150">
        <f>SUM(G355:G357)</f>
        <v>0.24342739748677247</v>
      </c>
    </row>
    <row r="355" spans="3:7" ht="15">
      <c r="C355" s="25" t="s">
        <v>191</v>
      </c>
      <c r="D355" s="70">
        <f>('TIEMPO P.P.'!$E$4+'TIEMPO P.P.'!$E$15)/2</f>
        <v>0.20666666666666667</v>
      </c>
      <c r="E355" s="70"/>
      <c r="F355" s="143">
        <f>IF(DATOS!$F$51=0,DATOS!$F$20,DATOS!$F$51)</f>
        <v>1.1778745039682539</v>
      </c>
      <c r="G355" s="141">
        <f>D355*$F$28</f>
        <v>0.24342739748677247</v>
      </c>
    </row>
    <row r="356" spans="3:7" ht="15">
      <c r="C356" s="27" t="s">
        <v>192</v>
      </c>
      <c r="D356" s="69">
        <f>D355</f>
        <v>0.20666666666666667</v>
      </c>
      <c r="E356" s="69"/>
      <c r="F356" s="141">
        <f>DATOS!$F$65/ORDEN!$D$34</f>
        <v>0</v>
      </c>
      <c r="G356" s="141">
        <f>D356*$F$29</f>
        <v>0</v>
      </c>
    </row>
    <row r="357" spans="3:7" ht="15.75" thickBot="1">
      <c r="C357" s="27"/>
      <c r="D357" s="27"/>
      <c r="E357" s="27"/>
      <c r="F357" s="141"/>
      <c r="G357" s="141">
        <f aca="true" t="shared" si="29" ref="G357">D357*F357</f>
        <v>0</v>
      </c>
    </row>
    <row r="358" spans="3:7" ht="17.25" thickBot="1" thickTop="1">
      <c r="C358" s="28"/>
      <c r="D358" s="543" t="s">
        <v>94</v>
      </c>
      <c r="E358" s="544"/>
      <c r="F358" s="545"/>
      <c r="G358" s="151">
        <f>G339+G347+G354</f>
        <v>0.4500940641534391</v>
      </c>
    </row>
    <row r="359" ht="15.75" thickTop="1"/>
  </sheetData>
  <mergeCells count="41">
    <mergeCell ref="C265:F265"/>
    <mergeCell ref="C1:H1"/>
    <mergeCell ref="C34:G34"/>
    <mergeCell ref="C36:F36"/>
    <mergeCell ref="D58:F58"/>
    <mergeCell ref="C3:H3"/>
    <mergeCell ref="C7:F7"/>
    <mergeCell ref="D31:F31"/>
    <mergeCell ref="C5:G5"/>
    <mergeCell ref="C180:F180"/>
    <mergeCell ref="C121:F121"/>
    <mergeCell ref="C62:G62"/>
    <mergeCell ref="C64:F64"/>
    <mergeCell ref="D87:F87"/>
    <mergeCell ref="C90:G90"/>
    <mergeCell ref="C92:F92"/>
    <mergeCell ref="D115:F115"/>
    <mergeCell ref="C119:G119"/>
    <mergeCell ref="D145:F145"/>
    <mergeCell ref="C148:G148"/>
    <mergeCell ref="C150:F150"/>
    <mergeCell ref="D174:F174"/>
    <mergeCell ref="C178:G178"/>
    <mergeCell ref="C263:G263"/>
    <mergeCell ref="D204:F204"/>
    <mergeCell ref="C207:G207"/>
    <mergeCell ref="C209:F209"/>
    <mergeCell ref="D230:F230"/>
    <mergeCell ref="C234:G234"/>
    <mergeCell ref="C236:F236"/>
    <mergeCell ref="D260:F260"/>
    <mergeCell ref="D358:F358"/>
    <mergeCell ref="D333:F333"/>
    <mergeCell ref="C337:G337"/>
    <mergeCell ref="C339:F339"/>
    <mergeCell ref="D284:F284"/>
    <mergeCell ref="C288:G288"/>
    <mergeCell ref="C290:F290"/>
    <mergeCell ref="D309:F309"/>
    <mergeCell ref="C312:G312"/>
    <mergeCell ref="C314:F314"/>
  </mergeCells>
  <printOptions/>
  <pageMargins left="0.7" right="0.7" top="0.75" bottom="0.75" header="0.3" footer="0.3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">
    <tabColor rgb="FFC00000"/>
  </sheetPr>
  <dimension ref="C1:H381"/>
  <sheetViews>
    <sheetView workbookViewId="0" topLeftCell="A1">
      <pane ySplit="3" topLeftCell="A4" activePane="bottomLeft" state="frozen"/>
      <selection pane="topLeft" activeCell="F152" sqref="F152"/>
      <selection pane="bottomLeft" activeCell="F152" sqref="F152"/>
    </sheetView>
  </sheetViews>
  <sheetFormatPr defaultColWidth="11.421875" defaultRowHeight="15"/>
  <cols>
    <col min="1" max="2" width="11.421875" style="21" customWidth="1"/>
    <col min="3" max="3" width="25.7109375" style="21" customWidth="1"/>
    <col min="4" max="4" width="11.421875" style="21" customWidth="1"/>
    <col min="5" max="5" width="7.7109375" style="21" customWidth="1"/>
    <col min="6" max="6" width="11.421875" style="140" customWidth="1"/>
    <col min="7" max="7" width="12.00390625" style="140" customWidth="1"/>
    <col min="8" max="10" width="11.421875" style="21" customWidth="1"/>
    <col min="11" max="16384" width="11.421875" style="21" customWidth="1"/>
  </cols>
  <sheetData>
    <row r="1" spans="3:8" ht="19.5">
      <c r="C1" s="550" t="s">
        <v>98</v>
      </c>
      <c r="D1" s="550"/>
      <c r="E1" s="550"/>
      <c r="F1" s="550"/>
      <c r="G1" s="550"/>
      <c r="H1" s="550"/>
    </row>
    <row r="3" spans="3:8" ht="21">
      <c r="C3" s="551" t="s">
        <v>411</v>
      </c>
      <c r="D3" s="551"/>
      <c r="E3" s="551"/>
      <c r="F3" s="551"/>
      <c r="G3" s="551"/>
      <c r="H3" s="551"/>
    </row>
    <row r="5" spans="3:7" ht="19.5" thickBot="1">
      <c r="C5" s="552" t="str">
        <f>PLATOS!C8</f>
        <v>Crema de acelga</v>
      </c>
      <c r="D5" s="552"/>
      <c r="E5" s="552"/>
      <c r="F5" s="552"/>
      <c r="G5" s="552"/>
    </row>
    <row r="6" spans="4:7" ht="15.75" thickBot="1">
      <c r="D6" s="31" t="s">
        <v>96</v>
      </c>
      <c r="E6" s="31"/>
      <c r="F6" s="146" t="s">
        <v>95</v>
      </c>
      <c r="G6" s="148" t="s">
        <v>97</v>
      </c>
    </row>
    <row r="7" spans="3:7" ht="15.75" thickBot="1">
      <c r="C7" s="547" t="s">
        <v>91</v>
      </c>
      <c r="D7" s="548"/>
      <c r="E7" s="548"/>
      <c r="F7" s="549"/>
      <c r="G7" s="156">
        <f>SUM(G8:G18)</f>
        <v>0.10787773333333336</v>
      </c>
    </row>
    <row r="8" spans="3:7" ht="15">
      <c r="C8" s="25" t="s">
        <v>345</v>
      </c>
      <c r="D8" s="25">
        <v>18.18</v>
      </c>
      <c r="E8" s="25" t="s">
        <v>284</v>
      </c>
      <c r="F8" s="143">
        <f>'LISTA DE PRODUCTOS'!$G$4</f>
        <v>0.0044</v>
      </c>
      <c r="G8" s="141">
        <f>D8*F8</f>
        <v>0.07999200000000001</v>
      </c>
    </row>
    <row r="9" spans="3:7" ht="15">
      <c r="C9" s="25" t="s">
        <v>263</v>
      </c>
      <c r="D9" s="25">
        <v>0.1</v>
      </c>
      <c r="E9" s="25" t="s">
        <v>284</v>
      </c>
      <c r="F9" s="143">
        <f>'LISTA DE PRODUCTOS'!$G$3</f>
        <v>0.00033</v>
      </c>
      <c r="G9" s="141">
        <f aca="true" t="shared" si="0" ref="G9:G18">D9*F9</f>
        <v>3.3E-05</v>
      </c>
    </row>
    <row r="10" spans="3:7" ht="15">
      <c r="C10" s="25" t="s">
        <v>273</v>
      </c>
      <c r="D10" s="25">
        <v>0.15</v>
      </c>
      <c r="E10" s="25" t="s">
        <v>284</v>
      </c>
      <c r="F10" s="143">
        <f>'LISTA DE PRODUCTOS'!$G$8</f>
        <v>0.0055000000000000005</v>
      </c>
      <c r="G10" s="141">
        <f t="shared" si="0"/>
        <v>0.0008250000000000001</v>
      </c>
    </row>
    <row r="11" spans="3:7" ht="15">
      <c r="C11" s="25" t="s">
        <v>329</v>
      </c>
      <c r="D11" s="25">
        <v>9.09</v>
      </c>
      <c r="E11" s="25" t="s">
        <v>284</v>
      </c>
      <c r="F11" s="141">
        <f>'LISTA DE PRODUCTOS'!$G$12</f>
        <v>0.0006160000000000001</v>
      </c>
      <c r="G11" s="141">
        <f t="shared" si="0"/>
        <v>0.005599440000000001</v>
      </c>
    </row>
    <row r="12" spans="3:7" ht="15">
      <c r="C12" s="25" t="s">
        <v>340</v>
      </c>
      <c r="D12" s="25">
        <v>2.27</v>
      </c>
      <c r="E12" s="25" t="s">
        <v>284</v>
      </c>
      <c r="F12" s="143">
        <f>'LISTA DE PRODUCTOS'!$G$17</f>
        <v>0.0022</v>
      </c>
      <c r="G12" s="141">
        <f t="shared" si="0"/>
        <v>0.004994</v>
      </c>
    </row>
    <row r="13" spans="3:7" ht="15">
      <c r="C13" s="25" t="s">
        <v>341</v>
      </c>
      <c r="D13" s="25">
        <v>2.27</v>
      </c>
      <c r="E13" s="25" t="s">
        <v>284</v>
      </c>
      <c r="F13" s="143">
        <f>'LISTA DE PRODUCTOS'!$G$18</f>
        <v>0.0014666666666666667</v>
      </c>
      <c r="G13" s="141">
        <f t="shared" si="0"/>
        <v>0.0033293333333333335</v>
      </c>
    </row>
    <row r="14" spans="3:7" ht="15">
      <c r="C14" s="27" t="s">
        <v>282</v>
      </c>
      <c r="D14" s="25">
        <v>9.09</v>
      </c>
      <c r="E14" s="25" t="s">
        <v>284</v>
      </c>
      <c r="F14" s="141">
        <f>'LISTA DE PRODUCTOS'!$G$33</f>
        <v>0.0007150000000000001</v>
      </c>
      <c r="G14" s="141">
        <f t="shared" si="0"/>
        <v>0.006499350000000001</v>
      </c>
    </row>
    <row r="15" spans="3:7" ht="15">
      <c r="C15" s="27" t="s">
        <v>290</v>
      </c>
      <c r="D15" s="27">
        <v>0.84</v>
      </c>
      <c r="E15" s="27" t="s">
        <v>284</v>
      </c>
      <c r="F15" s="141">
        <f>'LISTA DE PRODUCTOS'!$G$39</f>
        <v>0.00022275000000000005</v>
      </c>
      <c r="G15" s="141">
        <f t="shared" si="0"/>
        <v>0.00018711000000000004</v>
      </c>
    </row>
    <row r="16" spans="3:7" ht="15">
      <c r="C16" s="27" t="s">
        <v>339</v>
      </c>
      <c r="D16" s="25">
        <v>2.27</v>
      </c>
      <c r="E16" s="25" t="s">
        <v>284</v>
      </c>
      <c r="F16" s="141">
        <f>'LISTA DE PRODUCTOS'!$G$42</f>
        <v>0.0012100000000000001</v>
      </c>
      <c r="G16" s="141">
        <f t="shared" si="0"/>
        <v>0.0027467000000000004</v>
      </c>
    </row>
    <row r="17" spans="3:7" ht="15">
      <c r="C17" s="27" t="s">
        <v>342</v>
      </c>
      <c r="D17" s="27">
        <v>0.01</v>
      </c>
      <c r="E17" s="27" t="s">
        <v>284</v>
      </c>
      <c r="F17" s="141">
        <f>'LISTA DE PRODUCTOS'!$G$47</f>
        <v>0.0176</v>
      </c>
      <c r="G17" s="141">
        <f t="shared" si="0"/>
        <v>0.00017600000000000002</v>
      </c>
    </row>
    <row r="18" spans="3:7" ht="15">
      <c r="C18" s="27" t="s">
        <v>262</v>
      </c>
      <c r="D18" s="25">
        <v>2.27</v>
      </c>
      <c r="E18" s="25" t="s">
        <v>284</v>
      </c>
      <c r="F18" s="141">
        <f>'LISTA DE PRODUCTOS'!$G$59</f>
        <v>0.0015400000000000001</v>
      </c>
      <c r="G18" s="141">
        <f t="shared" si="0"/>
        <v>0.0034958000000000003</v>
      </c>
    </row>
    <row r="19" spans="3:7" ht="15.75" thickBot="1">
      <c r="C19" s="2"/>
      <c r="D19" s="2"/>
      <c r="E19" s="2"/>
      <c r="F19" s="144"/>
      <c r="G19" s="144"/>
    </row>
    <row r="20" spans="3:7" ht="15.75" thickBot="1">
      <c r="C20" s="135" t="s">
        <v>92</v>
      </c>
      <c r="D20" s="38" t="s">
        <v>185</v>
      </c>
      <c r="E20" s="39"/>
      <c r="F20" s="145" t="s">
        <v>184</v>
      </c>
      <c r="G20" s="76">
        <f>SUM(G21:G26)</f>
        <v>0.23916666666666664</v>
      </c>
    </row>
    <row r="21" spans="3:7" ht="15">
      <c r="C21" s="41" t="s">
        <v>186</v>
      </c>
      <c r="D21" s="40"/>
      <c r="E21" s="40"/>
      <c r="F21" s="143"/>
      <c r="G21" s="141"/>
    </row>
    <row r="22" spans="3:7" ht="15">
      <c r="C22" s="25" t="s">
        <v>140</v>
      </c>
      <c r="D22" s="67">
        <f>'TIEMPO P.P.'!$F$6/'TIEMPO P.P.'!$H$3</f>
        <v>0.06533333333333333</v>
      </c>
      <c r="E22" s="67"/>
      <c r="F22" s="143">
        <f>IF(DATOS!$I$9&gt;0,(DATOS!$C$4*'TIEMPO P.P.'!$I$3)/240,0)</f>
        <v>0</v>
      </c>
      <c r="G22" s="141">
        <f>D22*F22</f>
        <v>0</v>
      </c>
    </row>
    <row r="23" spans="3:7" ht="15">
      <c r="C23" s="25" t="s">
        <v>78</v>
      </c>
      <c r="D23" s="67">
        <f>'TIEMPO P.P.'!$F$17/'TIEMPO P.P.'!$H$3</f>
        <v>0.06222222222222222</v>
      </c>
      <c r="E23" s="67"/>
      <c r="F23" s="143">
        <f>IF(DATOS!$J$9&gt;0,DATOS!$C$5*'TIEMPO P.P.'!$I$14/240,0)</f>
        <v>0</v>
      </c>
      <c r="G23" s="141">
        <f>F23*D23</f>
        <v>0</v>
      </c>
    </row>
    <row r="24" spans="3:7" ht="15">
      <c r="C24" s="41" t="s">
        <v>187</v>
      </c>
      <c r="D24" s="42"/>
      <c r="E24" s="42"/>
      <c r="F24" s="143"/>
      <c r="G24" s="141"/>
    </row>
    <row r="25" spans="3:7" ht="15">
      <c r="C25" s="27" t="s">
        <v>140</v>
      </c>
      <c r="D25" s="68">
        <f>D22</f>
        <v>0.06533333333333333</v>
      </c>
      <c r="E25" s="68"/>
      <c r="F25" s="141">
        <f>IF(DATOS!$I$14&gt;0,DATOS!$C$7*'TIEMPO P.P.'!$I$3/8,0)</f>
        <v>1.875</v>
      </c>
      <c r="G25" s="141">
        <f>D25*F25</f>
        <v>0.12249999999999998</v>
      </c>
    </row>
    <row r="26" spans="3:7" ht="15.75" thickBot="1">
      <c r="C26" s="22" t="s">
        <v>78</v>
      </c>
      <c r="D26" s="71">
        <f>D23</f>
        <v>0.06222222222222222</v>
      </c>
      <c r="E26" s="71"/>
      <c r="F26" s="141">
        <f>IF(DATOS!$J$14&gt;0,DATOS!$C$8*'TIEMPO P.P.'!$I$14/8,0)</f>
        <v>1.875</v>
      </c>
      <c r="G26" s="141">
        <f>D26*F26</f>
        <v>0.11666666666666667</v>
      </c>
    </row>
    <row r="27" spans="3:7" ht="15.75" thickBot="1">
      <c r="C27" s="135" t="s">
        <v>93</v>
      </c>
      <c r="D27" s="38" t="s">
        <v>193</v>
      </c>
      <c r="E27" s="39"/>
      <c r="F27" s="145" t="s">
        <v>198</v>
      </c>
      <c r="G27" s="76">
        <f>SUM(G28:G30)</f>
        <v>0.2817083188657407</v>
      </c>
    </row>
    <row r="28" spans="3:7" ht="15">
      <c r="C28" s="25" t="s">
        <v>191</v>
      </c>
      <c r="D28" s="70">
        <f>('TIEMPO P.P.'!$E$6+'TIEMPO P.P.'!$E$17)/2</f>
        <v>0.23916666666666667</v>
      </c>
      <c r="E28" s="70"/>
      <c r="F28" s="143">
        <f>IF(DATOS!$F$51=0,DATOS!$F$20,DATOS!$F$51)</f>
        <v>1.1778745039682539</v>
      </c>
      <c r="G28" s="141">
        <f>D28*$F$28</f>
        <v>0.2817083188657407</v>
      </c>
    </row>
    <row r="29" spans="3:7" ht="15">
      <c r="C29" s="27" t="s">
        <v>192</v>
      </c>
      <c r="D29" s="69">
        <f>D28</f>
        <v>0.23916666666666667</v>
      </c>
      <c r="E29" s="69"/>
      <c r="F29" s="141">
        <f>DATOS!$F$65/ORDEN!$D$34</f>
        <v>0</v>
      </c>
      <c r="G29" s="141">
        <f>D29*$F$29</f>
        <v>0</v>
      </c>
    </row>
    <row r="30" spans="3:7" ht="15.75" thickBot="1">
      <c r="C30" s="27"/>
      <c r="D30" s="27"/>
      <c r="E30" s="27"/>
      <c r="F30" s="141"/>
      <c r="G30" s="141">
        <f>D30*F30</f>
        <v>0</v>
      </c>
    </row>
    <row r="31" spans="3:7" ht="17.25" thickBot="1" thickTop="1">
      <c r="C31" s="28"/>
      <c r="D31" s="543" t="s">
        <v>94</v>
      </c>
      <c r="E31" s="544"/>
      <c r="F31" s="545"/>
      <c r="G31" s="157">
        <f>G7+G20+G27</f>
        <v>0.6287527188657407</v>
      </c>
    </row>
    <row r="32" ht="15.75" thickTop="1"/>
    <row r="34" spans="3:7" ht="19.5" thickBot="1">
      <c r="C34" s="546" t="str">
        <f>PLATOS!C9</f>
        <v>Crema de champiñones</v>
      </c>
      <c r="D34" s="546"/>
      <c r="E34" s="546"/>
      <c r="F34" s="546"/>
      <c r="G34" s="546"/>
    </row>
    <row r="35" spans="4:7" ht="15.75" thickBot="1">
      <c r="D35" s="31" t="s">
        <v>96</v>
      </c>
      <c r="E35" s="31"/>
      <c r="F35" s="146" t="s">
        <v>95</v>
      </c>
      <c r="G35" s="148" t="s">
        <v>97</v>
      </c>
    </row>
    <row r="36" spans="3:7" ht="15.75" thickBot="1">
      <c r="C36" s="547" t="s">
        <v>91</v>
      </c>
      <c r="D36" s="548"/>
      <c r="E36" s="548"/>
      <c r="F36" s="549"/>
      <c r="G36" s="156">
        <f>SUM(G37:G47)</f>
        <v>0.15205373333333333</v>
      </c>
    </row>
    <row r="37" spans="3:7" ht="15">
      <c r="C37" s="25" t="s">
        <v>344</v>
      </c>
      <c r="D37" s="25">
        <v>20</v>
      </c>
      <c r="E37" s="25" t="s">
        <v>284</v>
      </c>
      <c r="F37" s="143">
        <f>'LISTA DE PRODUCTOS'!$G$19</f>
        <v>0.006208400000000001</v>
      </c>
      <c r="G37" s="141">
        <f>D37*F37</f>
        <v>0.12416800000000003</v>
      </c>
    </row>
    <row r="38" spans="3:7" ht="15">
      <c r="C38" s="25" t="s">
        <v>263</v>
      </c>
      <c r="D38" s="25">
        <v>0.1</v>
      </c>
      <c r="E38" s="25" t="s">
        <v>284</v>
      </c>
      <c r="F38" s="143">
        <f>'LISTA DE PRODUCTOS'!$G$3</f>
        <v>0.00033</v>
      </c>
      <c r="G38" s="141">
        <f aca="true" t="shared" si="1" ref="G38:G47">D38*F38</f>
        <v>3.3E-05</v>
      </c>
    </row>
    <row r="39" spans="3:7" ht="15">
      <c r="C39" s="25" t="s">
        <v>273</v>
      </c>
      <c r="D39" s="25">
        <v>0.15</v>
      </c>
      <c r="E39" s="25" t="s">
        <v>284</v>
      </c>
      <c r="F39" s="143">
        <f>'LISTA DE PRODUCTOS'!$G$8</f>
        <v>0.0055000000000000005</v>
      </c>
      <c r="G39" s="141">
        <f t="shared" si="1"/>
        <v>0.0008250000000000001</v>
      </c>
    </row>
    <row r="40" spans="3:7" ht="15">
      <c r="C40" s="25" t="s">
        <v>329</v>
      </c>
      <c r="D40" s="25">
        <v>9.09</v>
      </c>
      <c r="E40" s="25" t="s">
        <v>284</v>
      </c>
      <c r="F40" s="141">
        <f>'LISTA DE PRODUCTOS'!$G$12</f>
        <v>0.0006160000000000001</v>
      </c>
      <c r="G40" s="141">
        <f t="shared" si="1"/>
        <v>0.005599440000000001</v>
      </c>
    </row>
    <row r="41" spans="3:7" ht="15">
      <c r="C41" s="25" t="s">
        <v>340</v>
      </c>
      <c r="D41" s="25">
        <v>2.27</v>
      </c>
      <c r="E41" s="25" t="s">
        <v>284</v>
      </c>
      <c r="F41" s="143">
        <f>'LISTA DE PRODUCTOS'!$G$17</f>
        <v>0.0022</v>
      </c>
      <c r="G41" s="141">
        <f t="shared" si="1"/>
        <v>0.004994</v>
      </c>
    </row>
    <row r="42" spans="3:7" ht="15">
      <c r="C42" s="25" t="s">
        <v>341</v>
      </c>
      <c r="D42" s="25">
        <v>2.27</v>
      </c>
      <c r="E42" s="25" t="s">
        <v>284</v>
      </c>
      <c r="F42" s="143">
        <f>'LISTA DE PRODUCTOS'!$G$18</f>
        <v>0.0014666666666666667</v>
      </c>
      <c r="G42" s="141">
        <f t="shared" si="1"/>
        <v>0.0033293333333333335</v>
      </c>
    </row>
    <row r="43" spans="3:7" ht="15">
      <c r="C43" s="27" t="s">
        <v>282</v>
      </c>
      <c r="D43" s="25">
        <v>9.09</v>
      </c>
      <c r="E43" s="25" t="s">
        <v>284</v>
      </c>
      <c r="F43" s="141">
        <f>'LISTA DE PRODUCTOS'!$G$33</f>
        <v>0.0007150000000000001</v>
      </c>
      <c r="G43" s="141">
        <f t="shared" si="1"/>
        <v>0.006499350000000001</v>
      </c>
    </row>
    <row r="44" spans="3:7" ht="15">
      <c r="C44" s="27" t="s">
        <v>290</v>
      </c>
      <c r="D44" s="27">
        <v>0.84</v>
      </c>
      <c r="E44" s="27" t="s">
        <v>284</v>
      </c>
      <c r="F44" s="141">
        <f>'LISTA DE PRODUCTOS'!$G$39</f>
        <v>0.00022275000000000005</v>
      </c>
      <c r="G44" s="141">
        <f t="shared" si="1"/>
        <v>0.00018711000000000004</v>
      </c>
    </row>
    <row r="45" spans="3:7" ht="15">
      <c r="C45" s="27" t="s">
        <v>339</v>
      </c>
      <c r="D45" s="25">
        <v>2.27</v>
      </c>
      <c r="E45" s="25" t="s">
        <v>284</v>
      </c>
      <c r="F45" s="141">
        <f>'LISTA DE PRODUCTOS'!$G$42</f>
        <v>0.0012100000000000001</v>
      </c>
      <c r="G45" s="141">
        <f t="shared" si="1"/>
        <v>0.0027467000000000004</v>
      </c>
    </row>
    <row r="46" spans="3:7" ht="15">
      <c r="C46" s="27" t="s">
        <v>342</v>
      </c>
      <c r="D46" s="27">
        <v>0.01</v>
      </c>
      <c r="E46" s="27" t="s">
        <v>284</v>
      </c>
      <c r="F46" s="141">
        <f>'LISTA DE PRODUCTOS'!$G$47</f>
        <v>0.0176</v>
      </c>
      <c r="G46" s="141">
        <f t="shared" si="1"/>
        <v>0.00017600000000000002</v>
      </c>
    </row>
    <row r="47" spans="3:7" ht="15">
      <c r="C47" s="27" t="s">
        <v>262</v>
      </c>
      <c r="D47" s="25">
        <v>2.27</v>
      </c>
      <c r="E47" s="25" t="s">
        <v>284</v>
      </c>
      <c r="F47" s="141">
        <f>'LISTA DE PRODUCTOS'!$G$59</f>
        <v>0.0015400000000000001</v>
      </c>
      <c r="G47" s="141">
        <f t="shared" si="1"/>
        <v>0.0034958000000000003</v>
      </c>
    </row>
    <row r="48" spans="3:7" ht="15.75" thickBot="1">
      <c r="C48" s="2"/>
      <c r="D48" s="2"/>
      <c r="E48" s="2"/>
      <c r="F48" s="144"/>
      <c r="G48" s="144"/>
    </row>
    <row r="49" spans="3:7" ht="15.75" thickBot="1">
      <c r="C49" s="135" t="s">
        <v>92</v>
      </c>
      <c r="D49" s="38" t="s">
        <v>185</v>
      </c>
      <c r="E49" s="39"/>
      <c r="F49" s="145" t="s">
        <v>184</v>
      </c>
      <c r="G49" s="76">
        <f>SUM(G50:G55)</f>
        <v>0.23916666666666664</v>
      </c>
    </row>
    <row r="50" spans="3:7" ht="15">
      <c r="C50" s="41" t="s">
        <v>186</v>
      </c>
      <c r="D50" s="40"/>
      <c r="E50" s="40"/>
      <c r="F50" s="143"/>
      <c r="G50" s="141"/>
    </row>
    <row r="51" spans="3:7" ht="15">
      <c r="C51" s="25" t="s">
        <v>140</v>
      </c>
      <c r="D51" s="67">
        <f>'TIEMPO P.P.'!$F$6/'TIEMPO P.P.'!$H$3</f>
        <v>0.06533333333333333</v>
      </c>
      <c r="E51" s="67"/>
      <c r="F51" s="143">
        <f>IF(DATOS!$I$9&gt;0,(DATOS!$C$4*'TIEMPO P.P.'!$I$3)/240,0)</f>
        <v>0</v>
      </c>
      <c r="G51" s="141">
        <f>D51*F51</f>
        <v>0</v>
      </c>
    </row>
    <row r="52" spans="3:7" ht="15">
      <c r="C52" s="25" t="s">
        <v>78</v>
      </c>
      <c r="D52" s="67">
        <f>'TIEMPO P.P.'!$F$17/'TIEMPO P.P.'!$H$3</f>
        <v>0.06222222222222222</v>
      </c>
      <c r="E52" s="67"/>
      <c r="F52" s="143">
        <f>IF(DATOS!$J$9&gt;0,DATOS!$C$5*'TIEMPO P.P.'!$I$14/240,0)</f>
        <v>0</v>
      </c>
      <c r="G52" s="141">
        <f>F52*D52</f>
        <v>0</v>
      </c>
    </row>
    <row r="53" spans="3:7" ht="15">
      <c r="C53" s="41" t="s">
        <v>187</v>
      </c>
      <c r="D53" s="42"/>
      <c r="E53" s="42"/>
      <c r="F53" s="143"/>
      <c r="G53" s="141"/>
    </row>
    <row r="54" spans="3:7" ht="15">
      <c r="C54" s="27" t="s">
        <v>140</v>
      </c>
      <c r="D54" s="68">
        <f>D51</f>
        <v>0.06533333333333333</v>
      </c>
      <c r="E54" s="68"/>
      <c r="F54" s="141">
        <f>IF(DATOS!$I$14&gt;0,DATOS!$C$7*'TIEMPO P.P.'!$I$3/8,0)</f>
        <v>1.875</v>
      </c>
      <c r="G54" s="141">
        <f>D54*F54</f>
        <v>0.12249999999999998</v>
      </c>
    </row>
    <row r="55" spans="3:7" ht="15.75" thickBot="1">
      <c r="C55" s="22" t="s">
        <v>78</v>
      </c>
      <c r="D55" s="71">
        <f>D52</f>
        <v>0.06222222222222222</v>
      </c>
      <c r="E55" s="71"/>
      <c r="F55" s="141">
        <f>IF(DATOS!$J$14&gt;0,DATOS!$C$8*'TIEMPO P.P.'!$I$14/8,0)</f>
        <v>1.875</v>
      </c>
      <c r="G55" s="141">
        <f>D55*F55</f>
        <v>0.11666666666666667</v>
      </c>
    </row>
    <row r="56" spans="3:7" ht="15.75" thickBot="1">
      <c r="C56" s="135" t="s">
        <v>93</v>
      </c>
      <c r="D56" s="38" t="s">
        <v>193</v>
      </c>
      <c r="E56" s="39"/>
      <c r="F56" s="145" t="s">
        <v>198</v>
      </c>
      <c r="G56" s="76">
        <f>SUM(G57:G59)</f>
        <v>0.2817083188657407</v>
      </c>
    </row>
    <row r="57" spans="3:7" ht="15">
      <c r="C57" s="25" t="s">
        <v>191</v>
      </c>
      <c r="D57" s="70">
        <f>('TIEMPO P.P.'!$E$6+'TIEMPO P.P.'!$E$17)/2</f>
        <v>0.23916666666666667</v>
      </c>
      <c r="E57" s="70"/>
      <c r="F57" s="143">
        <f>IF(DATOS!$F$51=0,DATOS!$F$20,DATOS!$F$51)</f>
        <v>1.1778745039682539</v>
      </c>
      <c r="G57" s="141">
        <f>D57*$F$28</f>
        <v>0.2817083188657407</v>
      </c>
    </row>
    <row r="58" spans="3:7" ht="15">
      <c r="C58" s="27" t="s">
        <v>192</v>
      </c>
      <c r="D58" s="69">
        <f>D57</f>
        <v>0.23916666666666667</v>
      </c>
      <c r="E58" s="69"/>
      <c r="F58" s="141">
        <f>DATOS!$F$65/ORDEN!$D$34</f>
        <v>0</v>
      </c>
      <c r="G58" s="141">
        <f>D58*$F$29</f>
        <v>0</v>
      </c>
    </row>
    <row r="59" spans="3:7" ht="15.75" thickBot="1">
      <c r="C59" s="27"/>
      <c r="D59" s="27"/>
      <c r="E59" s="27"/>
      <c r="F59" s="141"/>
      <c r="G59" s="141">
        <f>D59*F59</f>
        <v>0</v>
      </c>
    </row>
    <row r="60" spans="3:7" ht="17.25" thickBot="1" thickTop="1">
      <c r="C60" s="28"/>
      <c r="D60" s="543" t="s">
        <v>94</v>
      </c>
      <c r="E60" s="544"/>
      <c r="F60" s="545"/>
      <c r="G60" s="157">
        <f>G36+G49+G56</f>
        <v>0.6729287188657407</v>
      </c>
    </row>
    <row r="61" ht="15.75" thickTop="1"/>
    <row r="64" spans="3:7" ht="19.5" thickBot="1">
      <c r="C64" s="546" t="str">
        <f>PLATOS!C10</f>
        <v>Crema de esparragos</v>
      </c>
      <c r="D64" s="546"/>
      <c r="E64" s="546"/>
      <c r="F64" s="546"/>
      <c r="G64" s="546"/>
    </row>
    <row r="65" spans="4:7" ht="15.75" thickBot="1">
      <c r="D65" s="31" t="s">
        <v>96</v>
      </c>
      <c r="E65" s="31"/>
      <c r="F65" s="146" t="s">
        <v>95</v>
      </c>
      <c r="G65" s="148" t="s">
        <v>97</v>
      </c>
    </row>
    <row r="66" spans="3:7" ht="15.75" thickBot="1">
      <c r="C66" s="547" t="s">
        <v>91</v>
      </c>
      <c r="D66" s="548"/>
      <c r="E66" s="548"/>
      <c r="F66" s="549"/>
      <c r="G66" s="156">
        <f>SUM(G67:G77)</f>
        <v>0.028209133333333337</v>
      </c>
    </row>
    <row r="67" spans="3:7" ht="15">
      <c r="C67" s="25" t="s">
        <v>346</v>
      </c>
      <c r="D67" s="25">
        <v>10.2</v>
      </c>
      <c r="E67" s="25" t="s">
        <v>284</v>
      </c>
      <c r="F67" s="143">
        <f>'LISTA DE PRODUCTOS'!$G$29</f>
        <v>3.170588235294118E-05</v>
      </c>
      <c r="G67" s="141">
        <f>D67*F67</f>
        <v>0.00032340000000000005</v>
      </c>
    </row>
    <row r="68" spans="3:7" ht="15">
      <c r="C68" s="25" t="s">
        <v>263</v>
      </c>
      <c r="D68" s="25">
        <v>0.1</v>
      </c>
      <c r="E68" s="25" t="s">
        <v>284</v>
      </c>
      <c r="F68" s="143">
        <f>'LISTA DE PRODUCTOS'!$G$3</f>
        <v>0.00033</v>
      </c>
      <c r="G68" s="141">
        <f aca="true" t="shared" si="2" ref="G68:G76">D68*F68</f>
        <v>3.3E-05</v>
      </c>
    </row>
    <row r="69" spans="3:7" ht="15">
      <c r="C69" s="25" t="s">
        <v>273</v>
      </c>
      <c r="D69" s="25">
        <v>0.15</v>
      </c>
      <c r="E69" s="25" t="s">
        <v>284</v>
      </c>
      <c r="F69" s="143">
        <f>'LISTA DE PRODUCTOS'!$G$8</f>
        <v>0.0055000000000000005</v>
      </c>
      <c r="G69" s="141">
        <f t="shared" si="2"/>
        <v>0.0008250000000000001</v>
      </c>
    </row>
    <row r="70" spans="3:7" ht="15">
      <c r="C70" s="25" t="s">
        <v>329</v>
      </c>
      <c r="D70" s="25">
        <v>9.09</v>
      </c>
      <c r="E70" s="25" t="s">
        <v>284</v>
      </c>
      <c r="F70" s="141">
        <f>'LISTA DE PRODUCTOS'!$G$12</f>
        <v>0.0006160000000000001</v>
      </c>
      <c r="G70" s="141">
        <f t="shared" si="2"/>
        <v>0.005599440000000001</v>
      </c>
    </row>
    <row r="71" spans="3:7" ht="15">
      <c r="C71" s="25" t="s">
        <v>340</v>
      </c>
      <c r="D71" s="25">
        <v>2.27</v>
      </c>
      <c r="E71" s="25" t="s">
        <v>284</v>
      </c>
      <c r="F71" s="143">
        <f>'LISTA DE PRODUCTOS'!$G$17</f>
        <v>0.0022</v>
      </c>
      <c r="G71" s="141">
        <f t="shared" si="2"/>
        <v>0.004994</v>
      </c>
    </row>
    <row r="72" spans="3:7" ht="15">
      <c r="C72" s="25" t="s">
        <v>341</v>
      </c>
      <c r="D72" s="25">
        <v>2.27</v>
      </c>
      <c r="E72" s="25" t="s">
        <v>284</v>
      </c>
      <c r="F72" s="143">
        <f>'LISTA DE PRODUCTOS'!$G$18</f>
        <v>0.0014666666666666667</v>
      </c>
      <c r="G72" s="141">
        <f t="shared" si="2"/>
        <v>0.0033293333333333335</v>
      </c>
    </row>
    <row r="73" spans="3:7" ht="15">
      <c r="C73" s="27" t="s">
        <v>282</v>
      </c>
      <c r="D73" s="25">
        <v>9.09</v>
      </c>
      <c r="E73" s="25" t="s">
        <v>284</v>
      </c>
      <c r="F73" s="141">
        <f>'LISTA DE PRODUCTOS'!$G$33</f>
        <v>0.0007150000000000001</v>
      </c>
      <c r="G73" s="141">
        <f t="shared" si="2"/>
        <v>0.006499350000000001</v>
      </c>
    </row>
    <row r="74" spans="3:7" ht="15">
      <c r="C74" s="27" t="s">
        <v>290</v>
      </c>
      <c r="D74" s="27">
        <v>0.84</v>
      </c>
      <c r="E74" s="27" t="s">
        <v>284</v>
      </c>
      <c r="F74" s="141">
        <f>'LISTA DE PRODUCTOS'!$G$39</f>
        <v>0.00022275000000000005</v>
      </c>
      <c r="G74" s="141">
        <f t="shared" si="2"/>
        <v>0.00018711000000000004</v>
      </c>
    </row>
    <row r="75" spans="3:7" ht="15">
      <c r="C75" s="27" t="s">
        <v>339</v>
      </c>
      <c r="D75" s="25">
        <v>2.27</v>
      </c>
      <c r="E75" s="25" t="s">
        <v>284</v>
      </c>
      <c r="F75" s="141">
        <f>'LISTA DE PRODUCTOS'!$G$42</f>
        <v>0.0012100000000000001</v>
      </c>
      <c r="G75" s="141">
        <f t="shared" si="2"/>
        <v>0.0027467000000000004</v>
      </c>
    </row>
    <row r="76" spans="3:7" ht="15">
      <c r="C76" s="27" t="s">
        <v>342</v>
      </c>
      <c r="D76" s="27">
        <v>0.01</v>
      </c>
      <c r="E76" s="27" t="s">
        <v>284</v>
      </c>
      <c r="F76" s="141">
        <f>'LISTA DE PRODUCTOS'!$G$47</f>
        <v>0.0176</v>
      </c>
      <c r="G76" s="141">
        <f t="shared" si="2"/>
        <v>0.00017600000000000002</v>
      </c>
    </row>
    <row r="77" spans="3:7" ht="15">
      <c r="C77" s="27" t="s">
        <v>262</v>
      </c>
      <c r="D77" s="25">
        <v>2.27</v>
      </c>
      <c r="E77" s="25" t="s">
        <v>284</v>
      </c>
      <c r="F77" s="141">
        <f>'LISTA DE PRODUCTOS'!$G$59</f>
        <v>0.0015400000000000001</v>
      </c>
      <c r="G77" s="141">
        <f aca="true" t="shared" si="3" ref="G77">D77*F77</f>
        <v>0.0034958000000000003</v>
      </c>
    </row>
    <row r="78" spans="3:7" ht="15.75" thickBot="1">
      <c r="C78" s="2"/>
      <c r="D78" s="2"/>
      <c r="E78" s="2"/>
      <c r="F78" s="144"/>
      <c r="G78" s="144"/>
    </row>
    <row r="79" spans="3:7" ht="15.75" thickBot="1">
      <c r="C79" s="135" t="s">
        <v>92</v>
      </c>
      <c r="D79" s="38" t="s">
        <v>185</v>
      </c>
      <c r="E79" s="39"/>
      <c r="F79" s="145" t="s">
        <v>184</v>
      </c>
      <c r="G79" s="76">
        <f>SUM(G80:G85)</f>
        <v>0.23916666666666664</v>
      </c>
    </row>
    <row r="80" spans="3:7" ht="15">
      <c r="C80" s="41" t="s">
        <v>186</v>
      </c>
      <c r="D80" s="40"/>
      <c r="E80" s="40"/>
      <c r="F80" s="143"/>
      <c r="G80" s="141"/>
    </row>
    <row r="81" spans="3:7" ht="15">
      <c r="C81" s="25" t="s">
        <v>140</v>
      </c>
      <c r="D81" s="67">
        <f>'TIEMPO P.P.'!$F$6/'TIEMPO P.P.'!$H$3</f>
        <v>0.06533333333333333</v>
      </c>
      <c r="E81" s="67"/>
      <c r="F81" s="143">
        <f>IF(DATOS!$I$9&gt;0,(DATOS!$C$4*'TIEMPO P.P.'!$I$3)/240,0)</f>
        <v>0</v>
      </c>
      <c r="G81" s="141">
        <f>D81*F81</f>
        <v>0</v>
      </c>
    </row>
    <row r="82" spans="3:7" ht="15">
      <c r="C82" s="25" t="s">
        <v>78</v>
      </c>
      <c r="D82" s="67">
        <f>'TIEMPO P.P.'!$F$17/'TIEMPO P.P.'!$H$3</f>
        <v>0.06222222222222222</v>
      </c>
      <c r="E82" s="67"/>
      <c r="F82" s="143">
        <f>IF(DATOS!$J$9&gt;0,DATOS!$C$5*'TIEMPO P.P.'!$I$14/240,0)</f>
        <v>0</v>
      </c>
      <c r="G82" s="141">
        <f>F82*D82</f>
        <v>0</v>
      </c>
    </row>
    <row r="83" spans="3:7" ht="15">
      <c r="C83" s="41" t="s">
        <v>187</v>
      </c>
      <c r="D83" s="42"/>
      <c r="E83" s="42"/>
      <c r="F83" s="143"/>
      <c r="G83" s="141"/>
    </row>
    <row r="84" spans="3:7" ht="15">
      <c r="C84" s="27" t="s">
        <v>140</v>
      </c>
      <c r="D84" s="68">
        <f>D81</f>
        <v>0.06533333333333333</v>
      </c>
      <c r="E84" s="68"/>
      <c r="F84" s="141">
        <f>IF(DATOS!$I$14&gt;0,DATOS!$C$7*'TIEMPO P.P.'!$I$3/8,0)</f>
        <v>1.875</v>
      </c>
      <c r="G84" s="141">
        <f>D84*F84</f>
        <v>0.12249999999999998</v>
      </c>
    </row>
    <row r="85" spans="3:7" ht="15.75" thickBot="1">
      <c r="C85" s="22" t="s">
        <v>78</v>
      </c>
      <c r="D85" s="71">
        <f>D82</f>
        <v>0.06222222222222222</v>
      </c>
      <c r="E85" s="71"/>
      <c r="F85" s="141">
        <f>IF(DATOS!$J$14&gt;0,DATOS!$C$8*'TIEMPO P.P.'!$I$14/8,0)</f>
        <v>1.875</v>
      </c>
      <c r="G85" s="141">
        <f>D85*F85</f>
        <v>0.11666666666666667</v>
      </c>
    </row>
    <row r="86" spans="3:7" ht="15.75" thickBot="1">
      <c r="C86" s="135" t="s">
        <v>93</v>
      </c>
      <c r="D86" s="38" t="s">
        <v>193</v>
      </c>
      <c r="E86" s="39"/>
      <c r="F86" s="145" t="s">
        <v>198</v>
      </c>
      <c r="G86" s="76">
        <f>SUM(G87:G89)</f>
        <v>0.2817083188657407</v>
      </c>
    </row>
    <row r="87" spans="3:7" ht="15">
      <c r="C87" s="25" t="s">
        <v>191</v>
      </c>
      <c r="D87" s="70">
        <f>('TIEMPO P.P.'!$E$6+'TIEMPO P.P.'!$E$17)/2</f>
        <v>0.23916666666666667</v>
      </c>
      <c r="E87" s="70"/>
      <c r="F87" s="143">
        <f>IF(DATOS!$F$51=0,DATOS!$F$20,DATOS!$F$51)</f>
        <v>1.1778745039682539</v>
      </c>
      <c r="G87" s="141">
        <f>D87*$F$28</f>
        <v>0.2817083188657407</v>
      </c>
    </row>
    <row r="88" spans="3:7" ht="15">
      <c r="C88" s="27" t="s">
        <v>192</v>
      </c>
      <c r="D88" s="69">
        <f>D87</f>
        <v>0.23916666666666667</v>
      </c>
      <c r="E88" s="69"/>
      <c r="F88" s="141">
        <f>DATOS!$F$65/ORDEN!$D$34</f>
        <v>0</v>
      </c>
      <c r="G88" s="141">
        <f>D88*$F$29</f>
        <v>0</v>
      </c>
    </row>
    <row r="89" spans="3:7" ht="15.75" thickBot="1">
      <c r="C89" s="27"/>
      <c r="D89" s="27"/>
      <c r="E89" s="27"/>
      <c r="F89" s="141"/>
      <c r="G89" s="141">
        <f>D89*F89</f>
        <v>0</v>
      </c>
    </row>
    <row r="90" spans="3:7" ht="17.25" thickBot="1" thickTop="1">
      <c r="C90" s="28"/>
      <c r="D90" s="543" t="s">
        <v>94</v>
      </c>
      <c r="E90" s="544"/>
      <c r="F90" s="545"/>
      <c r="G90" s="157">
        <f>G66+G79+G86</f>
        <v>0.5490841188657407</v>
      </c>
    </row>
    <row r="91" ht="15.75" thickTop="1"/>
    <row r="93" spans="3:7" ht="19.5" thickBot="1">
      <c r="C93" s="546" t="str">
        <f>PLATOS!C11</f>
        <v>Crema de pollo</v>
      </c>
      <c r="D93" s="546"/>
      <c r="E93" s="546"/>
      <c r="F93" s="546"/>
      <c r="G93" s="546"/>
    </row>
    <row r="94" spans="4:7" ht="15.75" thickBot="1">
      <c r="D94" s="31" t="s">
        <v>96</v>
      </c>
      <c r="E94" s="31"/>
      <c r="F94" s="146" t="s">
        <v>95</v>
      </c>
      <c r="G94" s="148" t="s">
        <v>97</v>
      </c>
    </row>
    <row r="95" spans="3:7" ht="15.75" thickBot="1">
      <c r="C95" s="547" t="s">
        <v>91</v>
      </c>
      <c r="D95" s="548"/>
      <c r="E95" s="548"/>
      <c r="F95" s="549"/>
      <c r="G95" s="156">
        <f>SUM(G96:G106)</f>
        <v>0.03998573333333333</v>
      </c>
    </row>
    <row r="96" spans="3:7" ht="15">
      <c r="C96" s="25" t="s">
        <v>336</v>
      </c>
      <c r="D96" s="25">
        <v>5.5</v>
      </c>
      <c r="E96" s="25" t="s">
        <v>284</v>
      </c>
      <c r="F96" s="143">
        <f>'LISTA DE PRODUCTOS'!$G$55</f>
        <v>0.0022</v>
      </c>
      <c r="G96" s="141">
        <f>D96*F96</f>
        <v>0.012100000000000001</v>
      </c>
    </row>
    <row r="97" spans="3:7" ht="15">
      <c r="C97" s="25" t="s">
        <v>263</v>
      </c>
      <c r="D97" s="25">
        <v>0.1</v>
      </c>
      <c r="E97" s="25" t="s">
        <v>284</v>
      </c>
      <c r="F97" s="143">
        <f>'LISTA DE PRODUCTOS'!$G$3</f>
        <v>0.00033</v>
      </c>
      <c r="G97" s="141">
        <f>D97*F97</f>
        <v>3.3E-05</v>
      </c>
    </row>
    <row r="98" spans="3:7" ht="15">
      <c r="C98" s="25" t="s">
        <v>273</v>
      </c>
      <c r="D98" s="25">
        <v>0.15</v>
      </c>
      <c r="E98" s="25" t="s">
        <v>284</v>
      </c>
      <c r="F98" s="143">
        <f>'LISTA DE PRODUCTOS'!$G$8</f>
        <v>0.0055000000000000005</v>
      </c>
      <c r="G98" s="141">
        <f aca="true" t="shared" si="4" ref="G98:G105">D98*F98</f>
        <v>0.0008250000000000001</v>
      </c>
    </row>
    <row r="99" spans="3:7" ht="15">
      <c r="C99" s="25" t="s">
        <v>329</v>
      </c>
      <c r="D99" s="25">
        <v>9.09</v>
      </c>
      <c r="E99" s="25" t="s">
        <v>284</v>
      </c>
      <c r="F99" s="141">
        <f>'LISTA DE PRODUCTOS'!$G$12</f>
        <v>0.0006160000000000001</v>
      </c>
      <c r="G99" s="141">
        <f t="shared" si="4"/>
        <v>0.005599440000000001</v>
      </c>
    </row>
    <row r="100" spans="3:7" ht="15">
      <c r="C100" s="25" t="s">
        <v>340</v>
      </c>
      <c r="D100" s="25">
        <v>2.27</v>
      </c>
      <c r="E100" s="25" t="s">
        <v>284</v>
      </c>
      <c r="F100" s="143">
        <f>'LISTA DE PRODUCTOS'!$G$17</f>
        <v>0.0022</v>
      </c>
      <c r="G100" s="141">
        <f t="shared" si="4"/>
        <v>0.004994</v>
      </c>
    </row>
    <row r="101" spans="3:7" ht="15">
      <c r="C101" s="25" t="s">
        <v>341</v>
      </c>
      <c r="D101" s="25">
        <v>2.27</v>
      </c>
      <c r="E101" s="25" t="s">
        <v>284</v>
      </c>
      <c r="F101" s="143">
        <f>'LISTA DE PRODUCTOS'!$G$18</f>
        <v>0.0014666666666666667</v>
      </c>
      <c r="G101" s="141">
        <f t="shared" si="4"/>
        <v>0.0033293333333333335</v>
      </c>
    </row>
    <row r="102" spans="3:7" ht="15">
      <c r="C102" s="27" t="s">
        <v>282</v>
      </c>
      <c r="D102" s="25">
        <v>9.09</v>
      </c>
      <c r="E102" s="25" t="s">
        <v>284</v>
      </c>
      <c r="F102" s="141">
        <f>'LISTA DE PRODUCTOS'!$G$33</f>
        <v>0.0007150000000000001</v>
      </c>
      <c r="G102" s="141">
        <f t="shared" si="4"/>
        <v>0.006499350000000001</v>
      </c>
    </row>
    <row r="103" spans="3:7" ht="15">
      <c r="C103" s="27" t="s">
        <v>290</v>
      </c>
      <c r="D103" s="27">
        <v>0.84</v>
      </c>
      <c r="E103" s="27" t="s">
        <v>284</v>
      </c>
      <c r="F103" s="141">
        <f>'LISTA DE PRODUCTOS'!$G$39</f>
        <v>0.00022275000000000005</v>
      </c>
      <c r="G103" s="141">
        <f t="shared" si="4"/>
        <v>0.00018711000000000004</v>
      </c>
    </row>
    <row r="104" spans="3:7" ht="15">
      <c r="C104" s="27" t="s">
        <v>339</v>
      </c>
      <c r="D104" s="25">
        <v>2.27</v>
      </c>
      <c r="E104" s="25" t="s">
        <v>284</v>
      </c>
      <c r="F104" s="141">
        <f>'LISTA DE PRODUCTOS'!$G$42</f>
        <v>0.0012100000000000001</v>
      </c>
      <c r="G104" s="141">
        <f t="shared" si="4"/>
        <v>0.0027467000000000004</v>
      </c>
    </row>
    <row r="105" spans="3:7" ht="15">
      <c r="C105" s="27" t="s">
        <v>342</v>
      </c>
      <c r="D105" s="27">
        <v>0.01</v>
      </c>
      <c r="E105" s="27" t="s">
        <v>284</v>
      </c>
      <c r="F105" s="141">
        <f>'LISTA DE PRODUCTOS'!$G$47</f>
        <v>0.0176</v>
      </c>
      <c r="G105" s="141">
        <f t="shared" si="4"/>
        <v>0.00017600000000000002</v>
      </c>
    </row>
    <row r="106" spans="3:7" ht="15">
      <c r="C106" s="27" t="s">
        <v>262</v>
      </c>
      <c r="D106" s="25">
        <v>2.27</v>
      </c>
      <c r="E106" s="25" t="s">
        <v>284</v>
      </c>
      <c r="F106" s="141">
        <f>'LISTA DE PRODUCTOS'!$G$59</f>
        <v>0.0015400000000000001</v>
      </c>
      <c r="G106" s="141">
        <f>D106*F106</f>
        <v>0.0034958000000000003</v>
      </c>
    </row>
    <row r="107" spans="3:7" ht="15.75" thickBot="1">
      <c r="C107" s="2"/>
      <c r="D107" s="2"/>
      <c r="E107" s="2"/>
      <c r="F107" s="144"/>
      <c r="G107" s="162"/>
    </row>
    <row r="108" spans="3:7" ht="15.75" thickBot="1">
      <c r="C108" s="135" t="s">
        <v>92</v>
      </c>
      <c r="D108" s="38" t="s">
        <v>185</v>
      </c>
      <c r="E108" s="39"/>
      <c r="F108" s="145" t="s">
        <v>184</v>
      </c>
      <c r="G108" s="76">
        <f>SUM(G109:G114)</f>
        <v>0.23916666666666664</v>
      </c>
    </row>
    <row r="109" spans="3:7" ht="15">
      <c r="C109" s="41" t="s">
        <v>186</v>
      </c>
      <c r="D109" s="40"/>
      <c r="E109" s="40"/>
      <c r="F109" s="143"/>
      <c r="G109" s="141"/>
    </row>
    <row r="110" spans="3:7" ht="15">
      <c r="C110" s="25" t="s">
        <v>140</v>
      </c>
      <c r="D110" s="67">
        <f>'TIEMPO P.P.'!$F$6/'TIEMPO P.P.'!$H$3</f>
        <v>0.06533333333333333</v>
      </c>
      <c r="E110" s="67"/>
      <c r="F110" s="143">
        <f>IF(DATOS!$I$9&gt;0,(DATOS!$C$4*'TIEMPO P.P.'!$I$3)/240,0)</f>
        <v>0</v>
      </c>
      <c r="G110" s="141">
        <f>D110*F110</f>
        <v>0</v>
      </c>
    </row>
    <row r="111" spans="3:7" ht="15">
      <c r="C111" s="25" t="s">
        <v>78</v>
      </c>
      <c r="D111" s="67">
        <f>'TIEMPO P.P.'!$F$17/'TIEMPO P.P.'!$H$3</f>
        <v>0.06222222222222222</v>
      </c>
      <c r="E111" s="67"/>
      <c r="F111" s="143">
        <f>IF(DATOS!$J$9&gt;0,DATOS!$C$5*'TIEMPO P.P.'!$I$14/240,0)</f>
        <v>0</v>
      </c>
      <c r="G111" s="141">
        <f>F111*D111</f>
        <v>0</v>
      </c>
    </row>
    <row r="112" spans="3:7" ht="15">
      <c r="C112" s="41" t="s">
        <v>187</v>
      </c>
      <c r="D112" s="42"/>
      <c r="E112" s="42"/>
      <c r="F112" s="143"/>
      <c r="G112" s="141"/>
    </row>
    <row r="113" spans="3:7" ht="15">
      <c r="C113" s="27" t="s">
        <v>140</v>
      </c>
      <c r="D113" s="68">
        <f>D110</f>
        <v>0.06533333333333333</v>
      </c>
      <c r="E113" s="68"/>
      <c r="F113" s="141">
        <f>IF(DATOS!$I$14&gt;0,DATOS!$C$7*'TIEMPO P.P.'!$I$3/8,0)</f>
        <v>1.875</v>
      </c>
      <c r="G113" s="141">
        <f>D113*F113</f>
        <v>0.12249999999999998</v>
      </c>
    </row>
    <row r="114" spans="3:7" ht="15.75" thickBot="1">
      <c r="C114" s="22" t="s">
        <v>78</v>
      </c>
      <c r="D114" s="71">
        <f>D111</f>
        <v>0.06222222222222222</v>
      </c>
      <c r="E114" s="71"/>
      <c r="F114" s="141">
        <f>IF(DATOS!$J$14&gt;0,DATOS!$C$8*'TIEMPO P.P.'!$I$14/8,0)</f>
        <v>1.875</v>
      </c>
      <c r="G114" s="141">
        <f>D114*F114</f>
        <v>0.11666666666666667</v>
      </c>
    </row>
    <row r="115" spans="3:7" ht="15.75" thickBot="1">
      <c r="C115" s="135" t="s">
        <v>93</v>
      </c>
      <c r="D115" s="38" t="s">
        <v>193</v>
      </c>
      <c r="E115" s="39"/>
      <c r="F115" s="145" t="s">
        <v>198</v>
      </c>
      <c r="G115" s="76">
        <f>SUM(G116:G118)</f>
        <v>0.2817083188657407</v>
      </c>
    </row>
    <row r="116" spans="3:7" ht="15">
      <c r="C116" s="25" t="s">
        <v>191</v>
      </c>
      <c r="D116" s="70">
        <f>('TIEMPO P.P.'!$E$6+'TIEMPO P.P.'!$E$17)/2</f>
        <v>0.23916666666666667</v>
      </c>
      <c r="E116" s="70"/>
      <c r="F116" s="143">
        <f>IF(DATOS!$F$51=0,DATOS!$F$20,DATOS!$F$51)</f>
        <v>1.1778745039682539</v>
      </c>
      <c r="G116" s="141">
        <f>D116*$F$28</f>
        <v>0.2817083188657407</v>
      </c>
    </row>
    <row r="117" spans="3:7" ht="15">
      <c r="C117" s="27" t="s">
        <v>192</v>
      </c>
      <c r="D117" s="69">
        <f>D116</f>
        <v>0.23916666666666667</v>
      </c>
      <c r="E117" s="69"/>
      <c r="F117" s="141">
        <f>DATOS!$F$65/ORDEN!$D$34</f>
        <v>0</v>
      </c>
      <c r="G117" s="141">
        <f>D117*$F$29</f>
        <v>0</v>
      </c>
    </row>
    <row r="118" spans="3:7" ht="15.75" thickBot="1">
      <c r="C118" s="27"/>
      <c r="D118" s="27"/>
      <c r="E118" s="27"/>
      <c r="F118" s="141"/>
      <c r="G118" s="141">
        <f>D118*F118</f>
        <v>0</v>
      </c>
    </row>
    <row r="119" spans="3:7" ht="17.25" thickBot="1" thickTop="1">
      <c r="C119" s="28"/>
      <c r="D119" s="543" t="s">
        <v>94</v>
      </c>
      <c r="E119" s="544"/>
      <c r="F119" s="545"/>
      <c r="G119" s="157">
        <f>G95+G108+G115</f>
        <v>0.5608607188657406</v>
      </c>
    </row>
    <row r="120" ht="15.75" thickTop="1"/>
    <row r="123" spans="3:7" ht="19.5" thickBot="1">
      <c r="C123" s="546" t="str">
        <f>PLATOS!C12</f>
        <v>Locro de cuero</v>
      </c>
      <c r="D123" s="546"/>
      <c r="E123" s="546"/>
      <c r="F123" s="546"/>
      <c r="G123" s="546"/>
    </row>
    <row r="124" spans="4:7" ht="15.75" thickBot="1">
      <c r="D124" s="31" t="s">
        <v>96</v>
      </c>
      <c r="E124" s="31"/>
      <c r="F124" s="146" t="s">
        <v>95</v>
      </c>
      <c r="G124" s="148" t="s">
        <v>97</v>
      </c>
    </row>
    <row r="125" spans="3:7" ht="15.75" thickBot="1">
      <c r="C125" s="547" t="s">
        <v>91</v>
      </c>
      <c r="D125" s="548"/>
      <c r="E125" s="548"/>
      <c r="F125" s="549"/>
      <c r="G125" s="156">
        <f>SUM(G126:G134)</f>
        <v>0.33640933333333334</v>
      </c>
    </row>
    <row r="126" spans="3:7" ht="15">
      <c r="C126" s="25" t="s">
        <v>349</v>
      </c>
      <c r="D126" s="25">
        <v>45.46</v>
      </c>
      <c r="E126" s="25" t="s">
        <v>284</v>
      </c>
      <c r="F126" s="143">
        <f>'LISTA DE PRODUCTOS'!$G$28</f>
        <v>0.003960000000000001</v>
      </c>
      <c r="G126" s="141">
        <f>D126*F126</f>
        <v>0.18002160000000003</v>
      </c>
    </row>
    <row r="127" spans="3:7" ht="15">
      <c r="C127" s="25" t="s">
        <v>273</v>
      </c>
      <c r="D127" s="25">
        <v>0.15</v>
      </c>
      <c r="E127" s="25" t="s">
        <v>284</v>
      </c>
      <c r="F127" s="143">
        <f>'LISTA DE PRODUCTOS'!$G$8</f>
        <v>0.0055000000000000005</v>
      </c>
      <c r="G127" s="141">
        <f aca="true" t="shared" si="5" ref="G127:G132">D127*F127</f>
        <v>0.0008250000000000001</v>
      </c>
    </row>
    <row r="128" spans="3:7" ht="15">
      <c r="C128" s="25" t="s">
        <v>340</v>
      </c>
      <c r="D128" s="25">
        <v>2.27</v>
      </c>
      <c r="E128" s="25" t="s">
        <v>284</v>
      </c>
      <c r="F128" s="143">
        <f>'LISTA DE PRODUCTOS'!$G$17</f>
        <v>0.0022</v>
      </c>
      <c r="G128" s="141">
        <f t="shared" si="5"/>
        <v>0.004994</v>
      </c>
    </row>
    <row r="129" spans="3:7" ht="15">
      <c r="C129" s="25" t="s">
        <v>341</v>
      </c>
      <c r="D129" s="25">
        <v>2.27</v>
      </c>
      <c r="E129" s="25" t="s">
        <v>284</v>
      </c>
      <c r="F129" s="143">
        <f>'LISTA DE PRODUCTOS'!$G$18</f>
        <v>0.0014666666666666667</v>
      </c>
      <c r="G129" s="141">
        <f t="shared" si="5"/>
        <v>0.0033293333333333335</v>
      </c>
    </row>
    <row r="130" spans="3:7" ht="15">
      <c r="C130" s="25" t="s">
        <v>282</v>
      </c>
      <c r="D130" s="25">
        <v>13.64</v>
      </c>
      <c r="E130" s="25" t="s">
        <v>284</v>
      </c>
      <c r="F130" s="141">
        <f>'LISTA DE PRODUCTOS'!$G$33</f>
        <v>0.0007150000000000001</v>
      </c>
      <c r="G130" s="141">
        <f t="shared" si="5"/>
        <v>0.009752600000000002</v>
      </c>
    </row>
    <row r="131" spans="3:7" ht="15">
      <c r="C131" s="25" t="s">
        <v>347</v>
      </c>
      <c r="D131" s="25">
        <v>5</v>
      </c>
      <c r="E131" s="25" t="s">
        <v>284</v>
      </c>
      <c r="F131" s="143">
        <f>'LISTA DE PRODUCTOS'!$G$40</f>
        <v>0.0033000000000000004</v>
      </c>
      <c r="G131" s="141">
        <f t="shared" si="5"/>
        <v>0.0165</v>
      </c>
    </row>
    <row r="132" spans="3:7" ht="15">
      <c r="C132" s="27" t="s">
        <v>348</v>
      </c>
      <c r="D132" s="27">
        <v>2.27</v>
      </c>
      <c r="E132" s="27" t="s">
        <v>284</v>
      </c>
      <c r="F132" s="141">
        <f>'LISTA DE PRODUCTOS'!$G$41</f>
        <v>0.0033000000000000004</v>
      </c>
      <c r="G132" s="141">
        <f t="shared" si="5"/>
        <v>0.007491000000000001</v>
      </c>
    </row>
    <row r="133" spans="3:7" ht="15">
      <c r="C133" s="27" t="s">
        <v>278</v>
      </c>
      <c r="D133" s="27">
        <v>250</v>
      </c>
      <c r="E133" s="27" t="s">
        <v>284</v>
      </c>
      <c r="F133" s="141">
        <f>'LISTA DE PRODUCTOS'!$G$50</f>
        <v>0.00044000000000000007</v>
      </c>
      <c r="G133" s="141">
        <f>D133*F133</f>
        <v>0.11000000000000001</v>
      </c>
    </row>
    <row r="134" spans="3:7" ht="15">
      <c r="C134" s="27" t="s">
        <v>262</v>
      </c>
      <c r="D134" s="27">
        <v>2.27</v>
      </c>
      <c r="E134" s="27" t="s">
        <v>284</v>
      </c>
      <c r="F134" s="141">
        <f>'LISTA DE PRODUCTOS'!$G$59</f>
        <v>0.0015400000000000001</v>
      </c>
      <c r="G134" s="141">
        <f>D134*F134</f>
        <v>0.0034958000000000003</v>
      </c>
    </row>
    <row r="135" spans="3:7" ht="15.75" thickBot="1">
      <c r="C135" s="2"/>
      <c r="D135" s="2"/>
      <c r="E135" s="2"/>
      <c r="F135" s="144"/>
      <c r="G135" s="144"/>
    </row>
    <row r="136" spans="3:7" ht="15.75" thickBot="1">
      <c r="C136" s="135" t="s">
        <v>92</v>
      </c>
      <c r="D136" s="38" t="s">
        <v>185</v>
      </c>
      <c r="E136" s="39"/>
      <c r="F136" s="145" t="s">
        <v>184</v>
      </c>
      <c r="G136" s="76">
        <f>SUM(G137:G142)</f>
        <v>0.23916666666666664</v>
      </c>
    </row>
    <row r="137" spans="3:7" ht="15">
      <c r="C137" s="41" t="s">
        <v>186</v>
      </c>
      <c r="D137" s="40"/>
      <c r="E137" s="40"/>
      <c r="F137" s="143"/>
      <c r="G137" s="141"/>
    </row>
    <row r="138" spans="3:7" ht="15">
      <c r="C138" s="25" t="s">
        <v>140</v>
      </c>
      <c r="D138" s="67">
        <f>'TIEMPO P.P.'!$F$6/'TIEMPO P.P.'!$H$3</f>
        <v>0.06533333333333333</v>
      </c>
      <c r="E138" s="67"/>
      <c r="F138" s="143">
        <f>IF(DATOS!$I$9&gt;0,(DATOS!$C$4*'TIEMPO P.P.'!$I$3)/240,0)</f>
        <v>0</v>
      </c>
      <c r="G138" s="141">
        <f>D138*F138</f>
        <v>0</v>
      </c>
    </row>
    <row r="139" spans="3:7" ht="15">
      <c r="C139" s="25" t="s">
        <v>78</v>
      </c>
      <c r="D139" s="67">
        <f>'TIEMPO P.P.'!$F$17/'TIEMPO P.P.'!$H$3</f>
        <v>0.06222222222222222</v>
      </c>
      <c r="E139" s="67"/>
      <c r="F139" s="143">
        <f>IF(DATOS!$J$9&gt;0,DATOS!$C$5*'TIEMPO P.P.'!$I$14/240,0)</f>
        <v>0</v>
      </c>
      <c r="G139" s="141">
        <f>F139*D139</f>
        <v>0</v>
      </c>
    </row>
    <row r="140" spans="3:7" ht="15">
      <c r="C140" s="41" t="s">
        <v>187</v>
      </c>
      <c r="D140" s="42"/>
      <c r="E140" s="42"/>
      <c r="F140" s="143"/>
      <c r="G140" s="141"/>
    </row>
    <row r="141" spans="3:7" ht="15">
      <c r="C141" s="27" t="s">
        <v>140</v>
      </c>
      <c r="D141" s="68">
        <f>D138</f>
        <v>0.06533333333333333</v>
      </c>
      <c r="E141" s="68"/>
      <c r="F141" s="141">
        <f>IF(DATOS!$I$14&gt;0,DATOS!$C$7*'TIEMPO P.P.'!$I$3/8,0)</f>
        <v>1.875</v>
      </c>
      <c r="G141" s="141">
        <f>D141*F141</f>
        <v>0.12249999999999998</v>
      </c>
    </row>
    <row r="142" spans="3:7" ht="15.75" thickBot="1">
      <c r="C142" s="22" t="s">
        <v>78</v>
      </c>
      <c r="D142" s="71">
        <f>D139</f>
        <v>0.06222222222222222</v>
      </c>
      <c r="E142" s="71"/>
      <c r="F142" s="141">
        <f>IF(DATOS!$J$14&gt;0,DATOS!$C$8*'TIEMPO P.P.'!$I$14/8,0)</f>
        <v>1.875</v>
      </c>
      <c r="G142" s="141">
        <f>D142*F142</f>
        <v>0.11666666666666667</v>
      </c>
    </row>
    <row r="143" spans="3:7" ht="15.75" thickBot="1">
      <c r="C143" s="135" t="s">
        <v>93</v>
      </c>
      <c r="D143" s="38" t="s">
        <v>193</v>
      </c>
      <c r="E143" s="39"/>
      <c r="F143" s="145" t="s">
        <v>198</v>
      </c>
      <c r="G143" s="76">
        <f>SUM(G144:G146)</f>
        <v>0.2817083188657407</v>
      </c>
    </row>
    <row r="144" spans="3:7" ht="15">
      <c r="C144" s="25" t="s">
        <v>191</v>
      </c>
      <c r="D144" s="70">
        <f>('TIEMPO P.P.'!$E$6+'TIEMPO P.P.'!$E$17)/2</f>
        <v>0.23916666666666667</v>
      </c>
      <c r="E144" s="70"/>
      <c r="F144" s="143">
        <f>IF(DATOS!$F$51=0,DATOS!$F$20,DATOS!$F$51)</f>
        <v>1.1778745039682539</v>
      </c>
      <c r="G144" s="141">
        <f>D144*$F$28</f>
        <v>0.2817083188657407</v>
      </c>
    </row>
    <row r="145" spans="3:7" ht="15">
      <c r="C145" s="27" t="s">
        <v>192</v>
      </c>
      <c r="D145" s="69">
        <f>D144</f>
        <v>0.23916666666666667</v>
      </c>
      <c r="E145" s="69"/>
      <c r="F145" s="141">
        <f>DATOS!$F$65/ORDEN!$D$34</f>
        <v>0</v>
      </c>
      <c r="G145" s="141">
        <f>D145*$F$29</f>
        <v>0</v>
      </c>
    </row>
    <row r="146" spans="3:7" ht="15.75" thickBot="1">
      <c r="C146" s="27"/>
      <c r="D146" s="27"/>
      <c r="E146" s="27"/>
      <c r="F146" s="141"/>
      <c r="G146" s="141">
        <f>D146*F146</f>
        <v>0</v>
      </c>
    </row>
    <row r="147" spans="3:7" ht="17.25" thickBot="1" thickTop="1">
      <c r="C147" s="28"/>
      <c r="D147" s="543" t="s">
        <v>94</v>
      </c>
      <c r="E147" s="544"/>
      <c r="F147" s="545"/>
      <c r="G147" s="157">
        <f>G125+G136+G143</f>
        <v>0.8572843188657406</v>
      </c>
    </row>
    <row r="148" ht="15.75" thickTop="1"/>
    <row r="150" spans="3:7" ht="19.5" thickBot="1">
      <c r="C150" s="546" t="str">
        <f>PLATOS!C13</f>
        <v>Locro de queso</v>
      </c>
      <c r="D150" s="546"/>
      <c r="E150" s="546"/>
      <c r="F150" s="546"/>
      <c r="G150" s="546"/>
    </row>
    <row r="151" spans="4:7" ht="15.75" thickBot="1">
      <c r="D151" s="31" t="s">
        <v>96</v>
      </c>
      <c r="E151" s="31"/>
      <c r="F151" s="146" t="s">
        <v>95</v>
      </c>
      <c r="G151" s="148" t="s">
        <v>97</v>
      </c>
    </row>
    <row r="152" spans="3:7" ht="15.75" thickBot="1">
      <c r="C152" s="547" t="s">
        <v>91</v>
      </c>
      <c r="D152" s="548"/>
      <c r="E152" s="548"/>
      <c r="F152" s="549"/>
      <c r="G152" s="156">
        <f>SUM(G153:G161)</f>
        <v>0.38972106666666667</v>
      </c>
    </row>
    <row r="153" spans="3:7" ht="15">
      <c r="C153" s="25" t="s">
        <v>350</v>
      </c>
      <c r="D153" s="161">
        <v>0.08333333333333333</v>
      </c>
      <c r="E153" s="25" t="s">
        <v>284</v>
      </c>
      <c r="F153" s="143">
        <f>'LISTA DE PRODUCTOS'!$G$56</f>
        <v>2.8</v>
      </c>
      <c r="G153" s="141">
        <f>D153*F153</f>
        <v>0.2333333333333333</v>
      </c>
    </row>
    <row r="154" spans="3:7" ht="15">
      <c r="C154" s="25" t="s">
        <v>273</v>
      </c>
      <c r="D154" s="25">
        <v>0.15</v>
      </c>
      <c r="E154" s="25" t="s">
        <v>284</v>
      </c>
      <c r="F154" s="143">
        <f>'LISTA DE PRODUCTOS'!$G$8</f>
        <v>0.0055000000000000005</v>
      </c>
      <c r="G154" s="141">
        <f aca="true" t="shared" si="6" ref="G154:G161">D154*F154</f>
        <v>0.0008250000000000001</v>
      </c>
    </row>
    <row r="155" spans="3:7" ht="15">
      <c r="C155" s="25" t="s">
        <v>340</v>
      </c>
      <c r="D155" s="25">
        <v>2.27</v>
      </c>
      <c r="E155" s="25" t="s">
        <v>284</v>
      </c>
      <c r="F155" s="143">
        <f>'LISTA DE PRODUCTOS'!$G$17</f>
        <v>0.0022</v>
      </c>
      <c r="G155" s="141">
        <f t="shared" si="6"/>
        <v>0.004994</v>
      </c>
    </row>
    <row r="156" spans="3:7" ht="15">
      <c r="C156" s="25" t="s">
        <v>341</v>
      </c>
      <c r="D156" s="25">
        <v>2.27</v>
      </c>
      <c r="E156" s="25" t="s">
        <v>284</v>
      </c>
      <c r="F156" s="143">
        <f>'LISTA DE PRODUCTOS'!$G$18</f>
        <v>0.0014666666666666667</v>
      </c>
      <c r="G156" s="141">
        <f t="shared" si="6"/>
        <v>0.0033293333333333335</v>
      </c>
    </row>
    <row r="157" spans="3:7" ht="15">
      <c r="C157" s="25" t="s">
        <v>282</v>
      </c>
      <c r="D157" s="25">
        <v>13.64</v>
      </c>
      <c r="E157" s="25" t="s">
        <v>284</v>
      </c>
      <c r="F157" s="141">
        <f>'LISTA DE PRODUCTOS'!$G$33</f>
        <v>0.0007150000000000001</v>
      </c>
      <c r="G157" s="141">
        <f t="shared" si="6"/>
        <v>0.009752600000000002</v>
      </c>
    </row>
    <row r="158" spans="3:7" ht="15">
      <c r="C158" s="25" t="s">
        <v>347</v>
      </c>
      <c r="D158" s="25">
        <v>5</v>
      </c>
      <c r="E158" s="25" t="s">
        <v>284</v>
      </c>
      <c r="F158" s="143">
        <f>'LISTA DE PRODUCTOS'!$G$40</f>
        <v>0.0033000000000000004</v>
      </c>
      <c r="G158" s="141">
        <f t="shared" si="6"/>
        <v>0.0165</v>
      </c>
    </row>
    <row r="159" spans="3:7" ht="15">
      <c r="C159" s="27" t="s">
        <v>348</v>
      </c>
      <c r="D159" s="27">
        <v>2.27</v>
      </c>
      <c r="E159" s="27" t="s">
        <v>284</v>
      </c>
      <c r="F159" s="141">
        <f>'LISTA DE PRODUCTOS'!$G$41</f>
        <v>0.0033000000000000004</v>
      </c>
      <c r="G159" s="141">
        <f t="shared" si="6"/>
        <v>0.007491000000000001</v>
      </c>
    </row>
    <row r="160" spans="3:7" ht="15">
      <c r="C160" s="27" t="s">
        <v>278</v>
      </c>
      <c r="D160" s="27">
        <v>250</v>
      </c>
      <c r="E160" s="27" t="s">
        <v>284</v>
      </c>
      <c r="F160" s="141">
        <f>'LISTA DE PRODUCTOS'!$G$50</f>
        <v>0.00044000000000000007</v>
      </c>
      <c r="G160" s="141">
        <f t="shared" si="6"/>
        <v>0.11000000000000001</v>
      </c>
    </row>
    <row r="161" spans="3:7" ht="15">
      <c r="C161" s="27" t="s">
        <v>262</v>
      </c>
      <c r="D161" s="27">
        <v>2.27</v>
      </c>
      <c r="E161" s="27" t="s">
        <v>284</v>
      </c>
      <c r="F161" s="141">
        <f>'LISTA DE PRODUCTOS'!$G$59</f>
        <v>0.0015400000000000001</v>
      </c>
      <c r="G161" s="141">
        <f t="shared" si="6"/>
        <v>0.0034958000000000003</v>
      </c>
    </row>
    <row r="162" spans="3:7" ht="15.75" thickBot="1">
      <c r="C162" s="2"/>
      <c r="D162" s="2"/>
      <c r="E162" s="2"/>
      <c r="F162" s="144"/>
      <c r="G162" s="144"/>
    </row>
    <row r="163" spans="3:7" ht="15.75" thickBot="1">
      <c r="C163" s="135" t="s">
        <v>92</v>
      </c>
      <c r="D163" s="38" t="s">
        <v>185</v>
      </c>
      <c r="E163" s="39"/>
      <c r="F163" s="145" t="s">
        <v>184</v>
      </c>
      <c r="G163" s="76">
        <f>SUM(G164:G169)</f>
        <v>0.23916666666666664</v>
      </c>
    </row>
    <row r="164" spans="3:7" ht="15">
      <c r="C164" s="41" t="s">
        <v>186</v>
      </c>
      <c r="D164" s="40"/>
      <c r="E164" s="40"/>
      <c r="F164" s="143"/>
      <c r="G164" s="141"/>
    </row>
    <row r="165" spans="3:7" ht="15">
      <c r="C165" s="25" t="s">
        <v>140</v>
      </c>
      <c r="D165" s="67">
        <f>'TIEMPO P.P.'!$F$6/'TIEMPO P.P.'!$H$3</f>
        <v>0.06533333333333333</v>
      </c>
      <c r="E165" s="67"/>
      <c r="F165" s="143">
        <f>IF(DATOS!$I$9&gt;0,(DATOS!$C$4*'TIEMPO P.P.'!$I$3)/240,0)</f>
        <v>0</v>
      </c>
      <c r="G165" s="141">
        <f>D165*F165</f>
        <v>0</v>
      </c>
    </row>
    <row r="166" spans="3:7" ht="15">
      <c r="C166" s="25" t="s">
        <v>78</v>
      </c>
      <c r="D166" s="67">
        <f>'TIEMPO P.P.'!$F$17/'TIEMPO P.P.'!$H$3</f>
        <v>0.06222222222222222</v>
      </c>
      <c r="E166" s="67"/>
      <c r="F166" s="143">
        <f>IF(DATOS!$J$9&gt;0,DATOS!$C$5*'TIEMPO P.P.'!$I$14/240,0)</f>
        <v>0</v>
      </c>
      <c r="G166" s="141">
        <f>F166*D166</f>
        <v>0</v>
      </c>
    </row>
    <row r="167" spans="3:7" ht="15">
      <c r="C167" s="41" t="s">
        <v>187</v>
      </c>
      <c r="D167" s="42"/>
      <c r="E167" s="42"/>
      <c r="F167" s="143"/>
      <c r="G167" s="141"/>
    </row>
    <row r="168" spans="3:7" ht="15">
      <c r="C168" s="27" t="s">
        <v>140</v>
      </c>
      <c r="D168" s="68">
        <f>D165</f>
        <v>0.06533333333333333</v>
      </c>
      <c r="E168" s="68"/>
      <c r="F168" s="141">
        <f>IF(DATOS!$I$14&gt;0,DATOS!$C$7*'TIEMPO P.P.'!$I$3/8,0)</f>
        <v>1.875</v>
      </c>
      <c r="G168" s="141">
        <f>D168*F168</f>
        <v>0.12249999999999998</v>
      </c>
    </row>
    <row r="169" spans="3:7" ht="15.75" thickBot="1">
      <c r="C169" s="22" t="s">
        <v>78</v>
      </c>
      <c r="D169" s="71">
        <f>D166</f>
        <v>0.06222222222222222</v>
      </c>
      <c r="E169" s="71"/>
      <c r="F169" s="141">
        <f>IF(DATOS!$J$14&gt;0,DATOS!$C$8*'TIEMPO P.P.'!$I$14/8,0)</f>
        <v>1.875</v>
      </c>
      <c r="G169" s="141">
        <f>D169*F169</f>
        <v>0.11666666666666667</v>
      </c>
    </row>
    <row r="170" spans="3:7" ht="15.75" thickBot="1">
      <c r="C170" s="135" t="s">
        <v>93</v>
      </c>
      <c r="D170" s="38" t="s">
        <v>193</v>
      </c>
      <c r="E170" s="39"/>
      <c r="F170" s="145" t="s">
        <v>198</v>
      </c>
      <c r="G170" s="76">
        <f>SUM(G171:G173)</f>
        <v>0.2817083188657407</v>
      </c>
    </row>
    <row r="171" spans="3:7" ht="15">
      <c r="C171" s="25" t="s">
        <v>191</v>
      </c>
      <c r="D171" s="70">
        <f>('TIEMPO P.P.'!$E$6+'TIEMPO P.P.'!$E$17)/2</f>
        <v>0.23916666666666667</v>
      </c>
      <c r="E171" s="70"/>
      <c r="F171" s="143">
        <f>IF(DATOS!$F$51=0,DATOS!$F$20,DATOS!$F$51)</f>
        <v>1.1778745039682539</v>
      </c>
      <c r="G171" s="141">
        <f>D171*$F$28</f>
        <v>0.2817083188657407</v>
      </c>
    </row>
    <row r="172" spans="3:7" ht="15">
      <c r="C172" s="27" t="s">
        <v>192</v>
      </c>
      <c r="D172" s="69">
        <f>D171</f>
        <v>0.23916666666666667</v>
      </c>
      <c r="E172" s="69"/>
      <c r="F172" s="141">
        <f>DATOS!$F$65/ORDEN!$D$34</f>
        <v>0</v>
      </c>
      <c r="G172" s="141">
        <f>D172*$F$29</f>
        <v>0</v>
      </c>
    </row>
    <row r="173" spans="3:7" ht="15.75" thickBot="1">
      <c r="C173" s="27"/>
      <c r="D173" s="27"/>
      <c r="E173" s="27"/>
      <c r="F173" s="141"/>
      <c r="G173" s="141">
        <f>D173*F173</f>
        <v>0</v>
      </c>
    </row>
    <row r="174" spans="3:7" ht="17.25" thickBot="1" thickTop="1">
      <c r="C174" s="28"/>
      <c r="D174" s="543" t="s">
        <v>94</v>
      </c>
      <c r="E174" s="544"/>
      <c r="F174" s="545"/>
      <c r="G174" s="157">
        <f>G152+G163+G170</f>
        <v>0.9105960521990741</v>
      </c>
    </row>
    <row r="175" ht="15.75" thickTop="1"/>
    <row r="178" spans="3:7" ht="19.5" thickBot="1">
      <c r="C178" s="546" t="str">
        <f>PLATOS!C14</f>
        <v>Sopa de albóndigas</v>
      </c>
      <c r="D178" s="546"/>
      <c r="E178" s="546"/>
      <c r="F178" s="546"/>
      <c r="G178" s="546"/>
    </row>
    <row r="179" spans="4:7" ht="15.75" thickBot="1">
      <c r="D179" s="31" t="s">
        <v>96</v>
      </c>
      <c r="E179" s="31"/>
      <c r="F179" s="146" t="s">
        <v>95</v>
      </c>
      <c r="G179" s="148" t="s">
        <v>97</v>
      </c>
    </row>
    <row r="180" spans="3:7" ht="15.75" thickBot="1">
      <c r="C180" s="547" t="s">
        <v>91</v>
      </c>
      <c r="D180" s="548"/>
      <c r="E180" s="548"/>
      <c r="F180" s="549"/>
      <c r="G180" s="156">
        <f>SUM(G181:G200)</f>
        <v>0.40090860000000006</v>
      </c>
    </row>
    <row r="181" spans="3:7" ht="15">
      <c r="C181" s="25" t="s">
        <v>376</v>
      </c>
      <c r="D181" s="25">
        <v>45.46</v>
      </c>
      <c r="E181" s="25" t="s">
        <v>284</v>
      </c>
      <c r="F181" s="143">
        <f>'LISTA DE PRODUCTOS'!$G$16</f>
        <v>0.0035200000000000006</v>
      </c>
      <c r="G181" s="141">
        <f>D181*F181</f>
        <v>0.16001920000000003</v>
      </c>
    </row>
    <row r="182" spans="3:7" ht="15">
      <c r="C182" s="25" t="s">
        <v>354</v>
      </c>
      <c r="D182" s="25">
        <v>0.15</v>
      </c>
      <c r="E182" s="25" t="s">
        <v>284</v>
      </c>
      <c r="F182" s="143">
        <f>'LISTA DE PRODUCTOS'!$G$3</f>
        <v>0.00033</v>
      </c>
      <c r="G182" s="141">
        <f aca="true" t="shared" si="7" ref="G182:G199">D182*F182</f>
        <v>4.95E-05</v>
      </c>
    </row>
    <row r="183" spans="3:7" ht="15">
      <c r="C183" s="25" t="s">
        <v>292</v>
      </c>
      <c r="D183" s="25">
        <v>0.15</v>
      </c>
      <c r="E183" s="25" t="s">
        <v>284</v>
      </c>
      <c r="F183" s="143">
        <f>'LISTA DE PRODUCTOS'!$G$8</f>
        <v>0.0055000000000000005</v>
      </c>
      <c r="G183" s="141">
        <f t="shared" si="7"/>
        <v>0.0008250000000000001</v>
      </c>
    </row>
    <row r="184" spans="3:7" ht="15">
      <c r="C184" s="25" t="s">
        <v>352</v>
      </c>
      <c r="D184" s="25">
        <v>9.09</v>
      </c>
      <c r="E184" s="25" t="s">
        <v>284</v>
      </c>
      <c r="F184" s="143">
        <f>'LISTA DE PRODUCTOS'!$G$10</f>
        <v>0.0022</v>
      </c>
      <c r="G184" s="141">
        <f t="shared" si="7"/>
        <v>0.019998000000000002</v>
      </c>
    </row>
    <row r="185" spans="3:7" ht="15">
      <c r="C185" s="25" t="s">
        <v>275</v>
      </c>
      <c r="D185" s="25">
        <v>0.1</v>
      </c>
      <c r="E185" s="25" t="s">
        <v>284</v>
      </c>
      <c r="F185" s="143">
        <f>'LISTA DE PRODUCTOS'!$G$11</f>
        <v>0.0011</v>
      </c>
      <c r="G185" s="141">
        <f t="shared" si="7"/>
        <v>0.00011000000000000002</v>
      </c>
    </row>
    <row r="186" spans="3:7" ht="15">
      <c r="C186" s="25" t="s">
        <v>329</v>
      </c>
      <c r="D186" s="25">
        <v>4.55</v>
      </c>
      <c r="E186" s="25" t="s">
        <v>284</v>
      </c>
      <c r="F186" s="141">
        <f>'LISTA DE PRODUCTOS'!$G$12</f>
        <v>0.0006160000000000001</v>
      </c>
      <c r="G186" s="141">
        <f t="shared" si="7"/>
        <v>0.0028028000000000003</v>
      </c>
    </row>
    <row r="187" spans="3:7" ht="15">
      <c r="C187" s="25" t="s">
        <v>286</v>
      </c>
      <c r="D187" s="25">
        <v>9.09</v>
      </c>
      <c r="E187" s="25" t="s">
        <v>284</v>
      </c>
      <c r="F187" s="141">
        <f>'LISTA DE PRODUCTOS'!$G$13</f>
        <v>0.0007260000000000001</v>
      </c>
      <c r="G187" s="141">
        <f t="shared" si="7"/>
        <v>0.00659934</v>
      </c>
    </row>
    <row r="188" spans="3:7" ht="15">
      <c r="C188" s="25" t="s">
        <v>280</v>
      </c>
      <c r="D188" s="25">
        <v>9.09</v>
      </c>
      <c r="E188" s="25" t="s">
        <v>284</v>
      </c>
      <c r="F188" s="141">
        <f>'LISTA DE PRODUCTOS'!$G$14</f>
        <v>0.0022</v>
      </c>
      <c r="G188" s="141">
        <f t="shared" si="7"/>
        <v>0.019998000000000002</v>
      </c>
    </row>
    <row r="189" spans="3:7" ht="15">
      <c r="C189" s="25" t="s">
        <v>272</v>
      </c>
      <c r="D189" s="25">
        <v>4.55</v>
      </c>
      <c r="E189" s="25" t="s">
        <v>284</v>
      </c>
      <c r="F189" s="143">
        <f>'LISTA DE PRODUCTOS'!$G$17</f>
        <v>0.0022</v>
      </c>
      <c r="G189" s="141">
        <f t="shared" si="7"/>
        <v>0.01001</v>
      </c>
    </row>
    <row r="190" spans="3:7" ht="15">
      <c r="C190" s="25" t="s">
        <v>265</v>
      </c>
      <c r="D190" s="25">
        <v>2.27</v>
      </c>
      <c r="E190" s="25" t="s">
        <v>284</v>
      </c>
      <c r="F190" s="143">
        <f>'LISTA DE PRODUCTOS'!$G$18</f>
        <v>0.0014666666666666667</v>
      </c>
      <c r="G190" s="141">
        <f t="shared" si="7"/>
        <v>0.0033293333333333335</v>
      </c>
    </row>
    <row r="191" spans="3:7" ht="15">
      <c r="C191" s="25" t="s">
        <v>274</v>
      </c>
      <c r="D191" s="25">
        <v>2.27</v>
      </c>
      <c r="E191" s="25" t="s">
        <v>284</v>
      </c>
      <c r="F191" s="143">
        <f>'LISTA DE PRODUCTOS'!$G$23</f>
        <v>0.0011</v>
      </c>
      <c r="G191" s="141">
        <f t="shared" si="7"/>
        <v>0.002497</v>
      </c>
    </row>
    <row r="192" spans="3:7" ht="15">
      <c r="C192" s="25" t="s">
        <v>356</v>
      </c>
      <c r="D192" s="25">
        <v>0.1</v>
      </c>
      <c r="E192" s="25" t="s">
        <v>284</v>
      </c>
      <c r="F192" s="143">
        <f>'LISTA DE PRODUCTOS'!$G$25</f>
        <v>0.003960000000000001</v>
      </c>
      <c r="G192" s="141">
        <f t="shared" si="7"/>
        <v>0.0003960000000000001</v>
      </c>
    </row>
    <row r="193" spans="3:7" ht="15">
      <c r="C193" s="25" t="s">
        <v>330</v>
      </c>
      <c r="D193" s="25">
        <v>1</v>
      </c>
      <c r="E193" s="25" t="s">
        <v>283</v>
      </c>
      <c r="F193" s="141">
        <f>'LISTA DE PRODUCTOS'!$G$31</f>
        <v>0.10666666666666667</v>
      </c>
      <c r="G193" s="141">
        <f t="shared" si="7"/>
        <v>0.10666666666666667</v>
      </c>
    </row>
    <row r="194" spans="3:7" ht="15">
      <c r="C194" s="25" t="s">
        <v>282</v>
      </c>
      <c r="D194" s="25">
        <v>4.55</v>
      </c>
      <c r="E194" s="25" t="s">
        <v>284</v>
      </c>
      <c r="F194" s="141">
        <f>'LISTA DE PRODUCTOS'!$G$33</f>
        <v>0.0007150000000000001</v>
      </c>
      <c r="G194" s="141">
        <f t="shared" si="7"/>
        <v>0.0032532500000000005</v>
      </c>
    </row>
    <row r="195" spans="3:7" ht="15">
      <c r="C195" s="25" t="s">
        <v>290</v>
      </c>
      <c r="D195" s="25">
        <v>0.84</v>
      </c>
      <c r="E195" s="25" t="s">
        <v>284</v>
      </c>
      <c r="F195" s="141">
        <f>'LISTA DE PRODUCTOS'!$G$39</f>
        <v>0.00022275000000000005</v>
      </c>
      <c r="G195" s="141">
        <f t="shared" si="7"/>
        <v>0.00018711000000000004</v>
      </c>
    </row>
    <row r="196" spans="3:7" ht="15">
      <c r="C196" s="25" t="s">
        <v>353</v>
      </c>
      <c r="D196" s="25">
        <v>0.1</v>
      </c>
      <c r="E196" s="25" t="s">
        <v>284</v>
      </c>
      <c r="F196" s="141">
        <f>'LISTA DE PRODUCTOS'!$G$41</f>
        <v>0.0033000000000000004</v>
      </c>
      <c r="G196" s="141">
        <f t="shared" si="7"/>
        <v>0.00033000000000000005</v>
      </c>
    </row>
    <row r="197" spans="3:7" ht="15">
      <c r="C197" s="25" t="s">
        <v>355</v>
      </c>
      <c r="D197" s="25">
        <v>0.1</v>
      </c>
      <c r="E197" s="25" t="s">
        <v>284</v>
      </c>
      <c r="F197" s="143">
        <f>'LISTA DE PRODUCTOS'!$G$48</f>
        <v>0.0033000000000000004</v>
      </c>
      <c r="G197" s="141">
        <f t="shared" si="7"/>
        <v>0.00033000000000000005</v>
      </c>
    </row>
    <row r="198" spans="3:7" ht="15">
      <c r="C198" s="25" t="s">
        <v>278</v>
      </c>
      <c r="D198" s="25">
        <v>113.64</v>
      </c>
      <c r="E198" s="25" t="s">
        <v>284</v>
      </c>
      <c r="F198" s="141">
        <f>'LISTA DE PRODUCTOS'!$G$50</f>
        <v>0.00044000000000000007</v>
      </c>
      <c r="G198" s="141">
        <f t="shared" si="7"/>
        <v>0.05000160000000001</v>
      </c>
    </row>
    <row r="199" spans="3:7" ht="15">
      <c r="C199" s="25" t="s">
        <v>262</v>
      </c>
      <c r="D199" s="25">
        <v>2.27</v>
      </c>
      <c r="E199" s="25" t="s">
        <v>284</v>
      </c>
      <c r="F199" s="141">
        <f>'LISTA DE PRODUCTOS'!$G$59</f>
        <v>0.0015400000000000001</v>
      </c>
      <c r="G199" s="141">
        <f t="shared" si="7"/>
        <v>0.0034958000000000003</v>
      </c>
    </row>
    <row r="200" spans="3:7" ht="15">
      <c r="C200" s="27" t="s">
        <v>279</v>
      </c>
      <c r="D200" s="25">
        <v>4.55</v>
      </c>
      <c r="E200" s="25" t="s">
        <v>284</v>
      </c>
      <c r="F200" s="141">
        <f>'LISTA DE PRODUCTOS'!$G$67</f>
        <v>0.0022</v>
      </c>
      <c r="G200" s="141">
        <f>D200*F200</f>
        <v>0.01001</v>
      </c>
    </row>
    <row r="201" spans="3:7" ht="15.75" thickBot="1">
      <c r="C201" s="2"/>
      <c r="D201" s="2"/>
      <c r="E201" s="2"/>
      <c r="F201" s="144"/>
      <c r="G201" s="144"/>
    </row>
    <row r="202" spans="3:7" ht="15.75" thickBot="1">
      <c r="C202" s="135" t="s">
        <v>92</v>
      </c>
      <c r="D202" s="38" t="s">
        <v>185</v>
      </c>
      <c r="E202" s="39"/>
      <c r="F202" s="145" t="s">
        <v>184</v>
      </c>
      <c r="G202" s="76">
        <f>SUM(G203:G208)</f>
        <v>0.23916666666666664</v>
      </c>
    </row>
    <row r="203" spans="3:7" ht="15">
      <c r="C203" s="41" t="s">
        <v>186</v>
      </c>
      <c r="D203" s="40"/>
      <c r="E203" s="40"/>
      <c r="F203" s="143"/>
      <c r="G203" s="141"/>
    </row>
    <row r="204" spans="3:7" ht="15">
      <c r="C204" s="25" t="s">
        <v>140</v>
      </c>
      <c r="D204" s="67">
        <f>'TIEMPO P.P.'!$F$6/'TIEMPO P.P.'!$H$3</f>
        <v>0.06533333333333333</v>
      </c>
      <c r="E204" s="67"/>
      <c r="F204" s="143">
        <f>IF(DATOS!$I$9&gt;0,(DATOS!$C$4*'TIEMPO P.P.'!$I$3)/240,0)</f>
        <v>0</v>
      </c>
      <c r="G204" s="141">
        <f>D204*F204</f>
        <v>0</v>
      </c>
    </row>
    <row r="205" spans="3:7" ht="15">
      <c r="C205" s="25" t="s">
        <v>78</v>
      </c>
      <c r="D205" s="67">
        <f>'TIEMPO P.P.'!$F$17/'TIEMPO P.P.'!$H$3</f>
        <v>0.06222222222222222</v>
      </c>
      <c r="E205" s="67"/>
      <c r="F205" s="143">
        <f>IF(DATOS!$J$9&gt;0,DATOS!$C$5*'TIEMPO P.P.'!$I$14/240,0)</f>
        <v>0</v>
      </c>
      <c r="G205" s="141">
        <f>F205*D205</f>
        <v>0</v>
      </c>
    </row>
    <row r="206" spans="3:7" ht="15">
      <c r="C206" s="41" t="s">
        <v>187</v>
      </c>
      <c r="D206" s="42"/>
      <c r="E206" s="42"/>
      <c r="F206" s="143"/>
      <c r="G206" s="141"/>
    </row>
    <row r="207" spans="3:7" ht="15">
      <c r="C207" s="27" t="s">
        <v>140</v>
      </c>
      <c r="D207" s="68">
        <f>D204</f>
        <v>0.06533333333333333</v>
      </c>
      <c r="E207" s="68"/>
      <c r="F207" s="141">
        <f>IF(DATOS!$I$14&gt;0,DATOS!$C$7*'TIEMPO P.P.'!$I$3/8,0)</f>
        <v>1.875</v>
      </c>
      <c r="G207" s="141">
        <f>D207*F207</f>
        <v>0.12249999999999998</v>
      </c>
    </row>
    <row r="208" spans="3:7" ht="15.75" thickBot="1">
      <c r="C208" s="22" t="s">
        <v>78</v>
      </c>
      <c r="D208" s="71">
        <f>D205</f>
        <v>0.06222222222222222</v>
      </c>
      <c r="E208" s="71"/>
      <c r="F208" s="141">
        <f>IF(DATOS!$J$14&gt;0,DATOS!$C$8*'TIEMPO P.P.'!$I$14/8,0)</f>
        <v>1.875</v>
      </c>
      <c r="G208" s="141">
        <f>D208*F208</f>
        <v>0.11666666666666667</v>
      </c>
    </row>
    <row r="209" spans="3:7" ht="15.75" thickBot="1">
      <c r="C209" s="135" t="s">
        <v>93</v>
      </c>
      <c r="D209" s="38" t="s">
        <v>193</v>
      </c>
      <c r="E209" s="39"/>
      <c r="F209" s="145" t="s">
        <v>198</v>
      </c>
      <c r="G209" s="76">
        <f>SUM(G210:G212)</f>
        <v>0.2817083188657407</v>
      </c>
    </row>
    <row r="210" spans="3:7" ht="15">
      <c r="C210" s="25" t="s">
        <v>191</v>
      </c>
      <c r="D210" s="70">
        <f>('TIEMPO P.P.'!$E$6+'TIEMPO P.P.'!$E$17)/2</f>
        <v>0.23916666666666667</v>
      </c>
      <c r="E210" s="70"/>
      <c r="F210" s="143">
        <f>IF(DATOS!$F$51=0,DATOS!$F$20,DATOS!$F$51)</f>
        <v>1.1778745039682539</v>
      </c>
      <c r="G210" s="141">
        <f>D210*$F$28</f>
        <v>0.2817083188657407</v>
      </c>
    </row>
    <row r="211" spans="3:7" ht="15">
      <c r="C211" s="27" t="s">
        <v>192</v>
      </c>
      <c r="D211" s="69">
        <f>D210</f>
        <v>0.23916666666666667</v>
      </c>
      <c r="E211" s="69"/>
      <c r="F211" s="141">
        <f>DATOS!$F$65/ORDEN!$D$34</f>
        <v>0</v>
      </c>
      <c r="G211" s="141">
        <f>D211*$F$29</f>
        <v>0</v>
      </c>
    </row>
    <row r="212" spans="3:7" ht="15.75" thickBot="1">
      <c r="C212" s="27"/>
      <c r="D212" s="27"/>
      <c r="E212" s="27"/>
      <c r="F212" s="141"/>
      <c r="G212" s="141">
        <f>D212*F212</f>
        <v>0</v>
      </c>
    </row>
    <row r="213" spans="3:7" ht="17.25" thickBot="1" thickTop="1">
      <c r="C213" s="28"/>
      <c r="D213" s="543" t="s">
        <v>94</v>
      </c>
      <c r="E213" s="544"/>
      <c r="F213" s="545"/>
      <c r="G213" s="157">
        <f>G180+G202+G209</f>
        <v>0.9217835855324075</v>
      </c>
    </row>
    <row r="214" ht="15.75" thickTop="1"/>
    <row r="216" spans="3:7" ht="19.5" thickBot="1">
      <c r="C216" s="546" t="str">
        <f>PLATOS!C15</f>
        <v>Sopa de pollo</v>
      </c>
      <c r="D216" s="546"/>
      <c r="E216" s="546"/>
      <c r="F216" s="546"/>
      <c r="G216" s="546"/>
    </row>
    <row r="217" spans="4:7" ht="15.75" thickBot="1">
      <c r="D217" s="31" t="s">
        <v>268</v>
      </c>
      <c r="E217" s="31" t="s">
        <v>283</v>
      </c>
      <c r="F217" s="146" t="s">
        <v>95</v>
      </c>
      <c r="G217" s="148" t="s">
        <v>97</v>
      </c>
    </row>
    <row r="218" spans="3:7" ht="15.75" thickBot="1">
      <c r="C218" s="547" t="s">
        <v>91</v>
      </c>
      <c r="D218" s="548"/>
      <c r="E218" s="548"/>
      <c r="F218" s="549"/>
      <c r="G218" s="156">
        <f>SUM(G219:G234)</f>
        <v>0.41598839333333343</v>
      </c>
    </row>
    <row r="219" spans="3:7" ht="15">
      <c r="C219" s="25" t="s">
        <v>296</v>
      </c>
      <c r="D219" s="25">
        <v>136.37</v>
      </c>
      <c r="E219" s="25" t="s">
        <v>284</v>
      </c>
      <c r="F219" s="143">
        <f>'LISTA DE PRODUCTOS'!$G$55</f>
        <v>0.0022</v>
      </c>
      <c r="G219" s="141">
        <f aca="true" t="shared" si="8" ref="G219:G234">D219*F219</f>
        <v>0.300014</v>
      </c>
    </row>
    <row r="220" spans="3:7" ht="15">
      <c r="C220" s="25" t="s">
        <v>263</v>
      </c>
      <c r="D220" s="25">
        <v>0.1</v>
      </c>
      <c r="E220" s="25" t="s">
        <v>284</v>
      </c>
      <c r="F220" s="143">
        <f>'LISTA DE PRODUCTOS'!$G$3</f>
        <v>0.00033</v>
      </c>
      <c r="G220" s="141">
        <f t="shared" si="8"/>
        <v>3.3E-05</v>
      </c>
    </row>
    <row r="221" spans="3:7" ht="15">
      <c r="C221" s="25" t="s">
        <v>281</v>
      </c>
      <c r="D221" s="25">
        <v>0.2</v>
      </c>
      <c r="E221" s="25" t="s">
        <v>284</v>
      </c>
      <c r="F221" s="143">
        <f>'LISTA DE PRODUCTOS'!$G$5</f>
        <v>0.003960000000000001</v>
      </c>
      <c r="G221" s="141">
        <f t="shared" si="8"/>
        <v>0.0007920000000000002</v>
      </c>
    </row>
    <row r="222" spans="3:7" ht="15">
      <c r="C222" s="25" t="s">
        <v>273</v>
      </c>
      <c r="D222" s="25">
        <v>0.2</v>
      </c>
      <c r="E222" s="25" t="s">
        <v>284</v>
      </c>
      <c r="F222" s="143">
        <f>'LISTA DE PRODUCTOS'!$G$8</f>
        <v>0.0055000000000000005</v>
      </c>
      <c r="G222" s="141">
        <f t="shared" si="8"/>
        <v>0.0011</v>
      </c>
    </row>
    <row r="223" spans="3:7" ht="15">
      <c r="C223" s="25" t="s">
        <v>275</v>
      </c>
      <c r="D223" s="25">
        <v>0.2</v>
      </c>
      <c r="E223" s="25" t="s">
        <v>284</v>
      </c>
      <c r="F223" s="143">
        <f>'LISTA DE PRODUCTOS'!$G$11</f>
        <v>0.0011</v>
      </c>
      <c r="G223" s="141">
        <f t="shared" si="8"/>
        <v>0.00022000000000000003</v>
      </c>
    </row>
    <row r="224" spans="3:7" ht="15">
      <c r="C224" s="25" t="s">
        <v>280</v>
      </c>
      <c r="D224" s="25">
        <v>9.09</v>
      </c>
      <c r="E224" s="25" t="s">
        <v>284</v>
      </c>
      <c r="F224" s="141">
        <f>'LISTA DE PRODUCTOS'!$G$14</f>
        <v>0.0022</v>
      </c>
      <c r="G224" s="141">
        <f t="shared" si="8"/>
        <v>0.019998000000000002</v>
      </c>
    </row>
    <row r="225" spans="3:7" ht="15">
      <c r="C225" s="25" t="s">
        <v>272</v>
      </c>
      <c r="D225" s="25">
        <v>4.55</v>
      </c>
      <c r="E225" s="25" t="s">
        <v>284</v>
      </c>
      <c r="F225" s="143">
        <f>'LISTA DE PRODUCTOS'!$G$17</f>
        <v>0.0022</v>
      </c>
      <c r="G225" s="141">
        <f t="shared" si="8"/>
        <v>0.01001</v>
      </c>
    </row>
    <row r="226" spans="3:7" ht="15">
      <c r="C226" s="25" t="s">
        <v>265</v>
      </c>
      <c r="D226" s="25">
        <v>2.27</v>
      </c>
      <c r="E226" s="25" t="s">
        <v>284</v>
      </c>
      <c r="F226" s="143">
        <f>'LISTA DE PRODUCTOS'!$G$18</f>
        <v>0.0014666666666666667</v>
      </c>
      <c r="G226" s="141">
        <f t="shared" si="8"/>
        <v>0.0033293333333333335</v>
      </c>
    </row>
    <row r="227" spans="3:7" ht="15">
      <c r="C227" s="25" t="s">
        <v>274</v>
      </c>
      <c r="D227" s="25">
        <v>0.01</v>
      </c>
      <c r="E227" s="25" t="s">
        <v>285</v>
      </c>
      <c r="F227" s="143">
        <f>'LISTA DE PRODUCTOS'!$G$23</f>
        <v>0.0011</v>
      </c>
      <c r="G227" s="141">
        <f t="shared" si="8"/>
        <v>1.1000000000000001E-05</v>
      </c>
    </row>
    <row r="228" spans="3:7" ht="15">
      <c r="C228" s="25" t="s">
        <v>282</v>
      </c>
      <c r="D228" s="25">
        <v>1.13</v>
      </c>
      <c r="E228" s="25" t="s">
        <v>284</v>
      </c>
      <c r="F228" s="141">
        <f>'LISTA DE PRODUCTOS'!$G$33</f>
        <v>0.0007150000000000001</v>
      </c>
      <c r="G228" s="141">
        <f t="shared" si="8"/>
        <v>0.0008079500000000001</v>
      </c>
    </row>
    <row r="229" spans="3:7" ht="15">
      <c r="C229" s="25" t="s">
        <v>277</v>
      </c>
      <c r="D229" s="25">
        <v>0.84</v>
      </c>
      <c r="E229" s="25" t="s">
        <v>284</v>
      </c>
      <c r="F229" s="141">
        <f>'LISTA DE PRODUCTOS'!$G$39</f>
        <v>0.00022275000000000005</v>
      </c>
      <c r="G229" s="141">
        <f t="shared" si="8"/>
        <v>0.00018711000000000004</v>
      </c>
    </row>
    <row r="230" spans="3:7" ht="15">
      <c r="C230" s="27" t="s">
        <v>278</v>
      </c>
      <c r="D230" s="27">
        <v>113.64</v>
      </c>
      <c r="E230" s="27" t="s">
        <v>284</v>
      </c>
      <c r="F230" s="141">
        <f>'LISTA DE PRODUCTOS'!$G$50</f>
        <v>0.00044000000000000007</v>
      </c>
      <c r="G230" s="141">
        <f t="shared" si="8"/>
        <v>0.05000160000000001</v>
      </c>
    </row>
    <row r="231" spans="3:7" ht="15">
      <c r="C231" s="27" t="s">
        <v>262</v>
      </c>
      <c r="D231" s="27">
        <v>2.27</v>
      </c>
      <c r="E231" s="27" t="s">
        <v>284</v>
      </c>
      <c r="F231" s="141">
        <f>'LISTA DE PRODUCTOS'!$G$59</f>
        <v>0.0015400000000000001</v>
      </c>
      <c r="G231" s="141">
        <f t="shared" si="8"/>
        <v>0.0034958000000000003</v>
      </c>
    </row>
    <row r="232" spans="3:7" ht="15">
      <c r="C232" s="27" t="s">
        <v>276</v>
      </c>
      <c r="D232" s="27">
        <v>0.15</v>
      </c>
      <c r="E232" s="27" t="s">
        <v>284</v>
      </c>
      <c r="F232" s="141">
        <f>'LISTA DE PRODUCTOS'!$G$62</f>
        <v>0.013200000000000002</v>
      </c>
      <c r="G232" s="141">
        <f t="shared" si="8"/>
        <v>0.00198</v>
      </c>
    </row>
    <row r="233" spans="3:7" ht="15">
      <c r="C233" s="27" t="s">
        <v>271</v>
      </c>
      <c r="D233" s="27">
        <v>9.09</v>
      </c>
      <c r="E233" s="27" t="s">
        <v>284</v>
      </c>
      <c r="F233" s="141">
        <f>'LISTA DE PRODUCTOS'!$G$64</f>
        <v>0.0015400000000000001</v>
      </c>
      <c r="G233" s="141">
        <f t="shared" si="8"/>
        <v>0.013998600000000002</v>
      </c>
    </row>
    <row r="234" spans="3:7" ht="15">
      <c r="C234" s="27" t="s">
        <v>279</v>
      </c>
      <c r="D234" s="27">
        <v>4.55</v>
      </c>
      <c r="E234" s="27" t="s">
        <v>284</v>
      </c>
      <c r="F234" s="141">
        <f>'LISTA DE PRODUCTOS'!$G$67</f>
        <v>0.0022</v>
      </c>
      <c r="G234" s="141">
        <f t="shared" si="8"/>
        <v>0.01001</v>
      </c>
    </row>
    <row r="235" spans="3:7" ht="15.75" thickBot="1">
      <c r="C235" s="2"/>
      <c r="D235" s="2"/>
      <c r="E235" s="2"/>
      <c r="F235" s="144"/>
      <c r="G235" s="144"/>
    </row>
    <row r="236" spans="3:7" ht="15.75" thickBot="1">
      <c r="C236" s="135" t="s">
        <v>92</v>
      </c>
      <c r="D236" s="38" t="s">
        <v>185</v>
      </c>
      <c r="E236" s="39"/>
      <c r="F236" s="145" t="s">
        <v>184</v>
      </c>
      <c r="G236" s="76">
        <f>SUM(G237:G242)</f>
        <v>0.23916666666666664</v>
      </c>
    </row>
    <row r="237" spans="3:7" ht="15">
      <c r="C237" s="41" t="s">
        <v>186</v>
      </c>
      <c r="D237" s="40"/>
      <c r="E237" s="40"/>
      <c r="F237" s="143"/>
      <c r="G237" s="141"/>
    </row>
    <row r="238" spans="3:7" ht="15">
      <c r="C238" s="25" t="s">
        <v>140</v>
      </c>
      <c r="D238" s="67">
        <f>'TIEMPO P.P.'!$F$6/'TIEMPO P.P.'!$H$3</f>
        <v>0.06533333333333333</v>
      </c>
      <c r="E238" s="67"/>
      <c r="F238" s="143">
        <f>IF(DATOS!$I$9&gt;0,(DATOS!$C$4*'TIEMPO P.P.'!$I$3)/240,0)</f>
        <v>0</v>
      </c>
      <c r="G238" s="141">
        <f>D238*F238</f>
        <v>0</v>
      </c>
    </row>
    <row r="239" spans="3:7" ht="15">
      <c r="C239" s="25" t="s">
        <v>78</v>
      </c>
      <c r="D239" s="67">
        <f>'TIEMPO P.P.'!$F$17/'TIEMPO P.P.'!$H$3</f>
        <v>0.06222222222222222</v>
      </c>
      <c r="E239" s="67"/>
      <c r="F239" s="143">
        <f>IF(DATOS!$J$9&gt;0,DATOS!$C$5*'TIEMPO P.P.'!$I$14/240,0)</f>
        <v>0</v>
      </c>
      <c r="G239" s="141">
        <f>F239*D239</f>
        <v>0</v>
      </c>
    </row>
    <row r="240" spans="3:7" ht="15">
      <c r="C240" s="41" t="s">
        <v>187</v>
      </c>
      <c r="D240" s="42"/>
      <c r="E240" s="42"/>
      <c r="F240" s="143"/>
      <c r="G240" s="141"/>
    </row>
    <row r="241" spans="3:7" ht="15">
      <c r="C241" s="27" t="s">
        <v>140</v>
      </c>
      <c r="D241" s="68">
        <f>D238</f>
        <v>0.06533333333333333</v>
      </c>
      <c r="E241" s="68"/>
      <c r="F241" s="141">
        <f>IF(DATOS!$I$14&gt;0,DATOS!$C$7*'TIEMPO P.P.'!$I$3/8,0)</f>
        <v>1.875</v>
      </c>
      <c r="G241" s="141">
        <f>D241*F241</f>
        <v>0.12249999999999998</v>
      </c>
    </row>
    <row r="242" spans="3:7" ht="15.75" thickBot="1">
      <c r="C242" s="22" t="s">
        <v>78</v>
      </c>
      <c r="D242" s="71">
        <f>D239</f>
        <v>0.06222222222222222</v>
      </c>
      <c r="E242" s="71"/>
      <c r="F242" s="141">
        <f>IF(DATOS!$J$14&gt;0,DATOS!$C$8*'TIEMPO P.P.'!$I$14/8,0)</f>
        <v>1.875</v>
      </c>
      <c r="G242" s="141">
        <f>D242*F242</f>
        <v>0.11666666666666667</v>
      </c>
    </row>
    <row r="243" spans="3:7" ht="15.75" thickBot="1">
      <c r="C243" s="135" t="s">
        <v>93</v>
      </c>
      <c r="D243" s="38" t="s">
        <v>193</v>
      </c>
      <c r="E243" s="39"/>
      <c r="F243" s="145" t="s">
        <v>198</v>
      </c>
      <c r="G243" s="76">
        <f>SUM(G244:G246)</f>
        <v>0.2817083188657407</v>
      </c>
    </row>
    <row r="244" spans="3:7" ht="15">
      <c r="C244" s="25" t="s">
        <v>191</v>
      </c>
      <c r="D244" s="70">
        <f>('TIEMPO P.P.'!$E$6+'TIEMPO P.P.'!$E$17)/2</f>
        <v>0.23916666666666667</v>
      </c>
      <c r="E244" s="70"/>
      <c r="F244" s="143">
        <f>IF(DATOS!$F$51=0,DATOS!$F$20,DATOS!$F$51)</f>
        <v>1.1778745039682539</v>
      </c>
      <c r="G244" s="141">
        <f>D244*$F$28</f>
        <v>0.2817083188657407</v>
      </c>
    </row>
    <row r="245" spans="3:7" ht="15">
      <c r="C245" s="27" t="s">
        <v>192</v>
      </c>
      <c r="D245" s="69">
        <f>D244</f>
        <v>0.23916666666666667</v>
      </c>
      <c r="E245" s="69"/>
      <c r="F245" s="141">
        <f>DATOS!$F$65/ORDEN!$D$34</f>
        <v>0</v>
      </c>
      <c r="G245" s="141">
        <f>D245*$F$29</f>
        <v>0</v>
      </c>
    </row>
    <row r="246" spans="3:7" ht="15.75" thickBot="1">
      <c r="C246" s="27"/>
      <c r="D246" s="27"/>
      <c r="E246" s="27"/>
      <c r="F246" s="141"/>
      <c r="G246" s="141">
        <f>D246*F246</f>
        <v>0</v>
      </c>
    </row>
    <row r="247" spans="3:7" ht="17.25" thickBot="1" thickTop="1">
      <c r="C247" s="28"/>
      <c r="D247" s="543" t="s">
        <v>94</v>
      </c>
      <c r="E247" s="544"/>
      <c r="F247" s="545"/>
      <c r="G247" s="157">
        <f>G218+G236+G243</f>
        <v>0.9368633788657408</v>
      </c>
    </row>
    <row r="248" ht="15.75" thickTop="1"/>
    <row r="251" spans="3:7" ht="19.5" thickBot="1">
      <c r="C251" s="546" t="str">
        <f>PLATOS!C16</f>
        <v>Yahuarlocro</v>
      </c>
      <c r="D251" s="546"/>
      <c r="E251" s="546"/>
      <c r="F251" s="546"/>
      <c r="G251" s="546"/>
    </row>
    <row r="252" spans="4:7" ht="15.75" thickBot="1">
      <c r="D252" s="31" t="s">
        <v>96</v>
      </c>
      <c r="E252" s="31"/>
      <c r="F252" s="146" t="s">
        <v>95</v>
      </c>
      <c r="G252" s="148" t="s">
        <v>97</v>
      </c>
    </row>
    <row r="253" spans="3:7" ht="15.75" thickBot="1">
      <c r="C253" s="547" t="s">
        <v>91</v>
      </c>
      <c r="D253" s="548"/>
      <c r="E253" s="548"/>
      <c r="F253" s="549"/>
      <c r="G253" s="156">
        <f>SUM(G254:G270)</f>
        <v>0.5022864433333335</v>
      </c>
    </row>
    <row r="254" spans="3:7" ht="15">
      <c r="C254" s="25" t="s">
        <v>357</v>
      </c>
      <c r="D254" s="25">
        <v>68.18</v>
      </c>
      <c r="E254" s="25" t="s">
        <v>284</v>
      </c>
      <c r="F254" s="143">
        <f>'LISTA DE PRODUCTOS'!$G$45</f>
        <v>0.003960000000000001</v>
      </c>
      <c r="G254" s="141">
        <f>D254*F254</f>
        <v>0.2699928000000001</v>
      </c>
    </row>
    <row r="255" spans="3:7" ht="15">
      <c r="C255" s="25" t="s">
        <v>325</v>
      </c>
      <c r="D255" s="112">
        <v>0.2</v>
      </c>
      <c r="E255" s="25" t="s">
        <v>283</v>
      </c>
      <c r="F255" s="143">
        <f>'LISTA DE PRODUCTOS'!$G$6</f>
        <v>0.25</v>
      </c>
      <c r="G255" s="141">
        <f aca="true" t="shared" si="9" ref="G255:G270">D255*F255</f>
        <v>0.05</v>
      </c>
    </row>
    <row r="256" spans="3:7" ht="15">
      <c r="C256" s="25" t="s">
        <v>273</v>
      </c>
      <c r="D256" s="25">
        <v>0.15</v>
      </c>
      <c r="E256" s="25" t="s">
        <v>284</v>
      </c>
      <c r="F256" s="143">
        <f>'LISTA DE PRODUCTOS'!$G$8</f>
        <v>0.0055000000000000005</v>
      </c>
      <c r="G256" s="141">
        <f t="shared" si="9"/>
        <v>0.0008250000000000001</v>
      </c>
    </row>
    <row r="257" spans="3:7" ht="15">
      <c r="C257" s="25" t="s">
        <v>340</v>
      </c>
      <c r="D257" s="25">
        <v>2.27</v>
      </c>
      <c r="E257" s="25" t="s">
        <v>284</v>
      </c>
      <c r="F257" s="143">
        <f>'LISTA DE PRODUCTOS'!$G$17</f>
        <v>0.0022</v>
      </c>
      <c r="G257" s="141">
        <f t="shared" si="9"/>
        <v>0.004994</v>
      </c>
    </row>
    <row r="258" spans="3:7" ht="15">
      <c r="C258" s="25" t="s">
        <v>341</v>
      </c>
      <c r="D258" s="25">
        <v>2.27</v>
      </c>
      <c r="E258" s="25" t="s">
        <v>284</v>
      </c>
      <c r="F258" s="143">
        <f>'LISTA DE PRODUCTOS'!$G$18</f>
        <v>0.0014666666666666667</v>
      </c>
      <c r="G258" s="141">
        <f t="shared" si="9"/>
        <v>0.0033293333333333335</v>
      </c>
    </row>
    <row r="259" spans="3:7" ht="15">
      <c r="C259" s="25" t="s">
        <v>274</v>
      </c>
      <c r="D259" s="25">
        <v>0.1</v>
      </c>
      <c r="E259" s="25" t="s">
        <v>284</v>
      </c>
      <c r="F259" s="143">
        <f>'LISTA DE PRODUCTOS'!$G$23</f>
        <v>0.0011</v>
      </c>
      <c r="G259" s="141">
        <f t="shared" si="9"/>
        <v>0.00011000000000000002</v>
      </c>
    </row>
    <row r="260" spans="3:7" ht="15">
      <c r="C260" s="25" t="s">
        <v>356</v>
      </c>
      <c r="D260" s="25">
        <v>0.08</v>
      </c>
      <c r="E260" s="25" t="s">
        <v>284</v>
      </c>
      <c r="F260" s="143">
        <f>'LISTA DE PRODUCTOS'!$G$25</f>
        <v>0.003960000000000001</v>
      </c>
      <c r="G260" s="141">
        <f t="shared" si="9"/>
        <v>0.00031680000000000006</v>
      </c>
    </row>
    <row r="261" spans="3:7" ht="15">
      <c r="C261" s="25" t="s">
        <v>293</v>
      </c>
      <c r="D261" s="25">
        <v>0.1</v>
      </c>
      <c r="E261" s="25" t="s">
        <v>284</v>
      </c>
      <c r="F261" s="143">
        <f>'LISTA DE PRODUCTOS'!$G$26</f>
        <v>0.0035200000000000006</v>
      </c>
      <c r="G261" s="141">
        <f t="shared" si="9"/>
        <v>0.0003520000000000001</v>
      </c>
    </row>
    <row r="262" spans="3:7" ht="15">
      <c r="C262" s="25" t="s">
        <v>360</v>
      </c>
      <c r="D262" s="25">
        <v>0.1</v>
      </c>
      <c r="E262" s="25" t="s">
        <v>284</v>
      </c>
      <c r="F262" s="143">
        <f>'LISTA DE PRODUCTOS'!$G$30</f>
        <v>0.0011</v>
      </c>
      <c r="G262" s="141">
        <f t="shared" si="9"/>
        <v>0.00011000000000000002</v>
      </c>
    </row>
    <row r="263" spans="3:7" ht="15">
      <c r="C263" s="25" t="s">
        <v>282</v>
      </c>
      <c r="D263" s="25">
        <v>13.64</v>
      </c>
      <c r="E263" s="25" t="s">
        <v>284</v>
      </c>
      <c r="F263" s="141">
        <f>'LISTA DE PRODUCTOS'!$G$33</f>
        <v>0.0007150000000000001</v>
      </c>
      <c r="G263" s="141">
        <f t="shared" si="9"/>
        <v>0.009752600000000002</v>
      </c>
    </row>
    <row r="264" spans="3:7" ht="15">
      <c r="C264" s="25" t="s">
        <v>277</v>
      </c>
      <c r="D264" s="25">
        <v>0.84</v>
      </c>
      <c r="E264" s="25" t="s">
        <v>284</v>
      </c>
      <c r="F264" s="141">
        <f>'LISTA DE PRODUCTOS'!$G$39</f>
        <v>0.00022275000000000005</v>
      </c>
      <c r="G264" s="141">
        <f t="shared" si="9"/>
        <v>0.00018711000000000004</v>
      </c>
    </row>
    <row r="265" spans="3:7" ht="15">
      <c r="C265" s="25" t="s">
        <v>347</v>
      </c>
      <c r="D265" s="25">
        <v>5</v>
      </c>
      <c r="E265" s="25" t="s">
        <v>284</v>
      </c>
      <c r="F265" s="143">
        <f>'LISTA DE PRODUCTOS'!$G$40</f>
        <v>0.0033000000000000004</v>
      </c>
      <c r="G265" s="141">
        <f t="shared" si="9"/>
        <v>0.0165</v>
      </c>
    </row>
    <row r="266" spans="3:7" ht="15">
      <c r="C266" s="25" t="s">
        <v>358</v>
      </c>
      <c r="D266" s="25">
        <v>2.27</v>
      </c>
      <c r="E266" s="25" t="s">
        <v>284</v>
      </c>
      <c r="F266" s="141">
        <f>'LISTA DE PRODUCTOS'!$G$41</f>
        <v>0.0033000000000000004</v>
      </c>
      <c r="G266" s="141">
        <f t="shared" si="9"/>
        <v>0.007491000000000001</v>
      </c>
    </row>
    <row r="267" spans="3:7" ht="15">
      <c r="C267" s="25" t="s">
        <v>355</v>
      </c>
      <c r="D267" s="25">
        <v>0.1</v>
      </c>
      <c r="E267" s="25" t="s">
        <v>284</v>
      </c>
      <c r="F267" s="143">
        <f>'LISTA DE PRODUCTOS'!$G$48</f>
        <v>0.0033000000000000004</v>
      </c>
      <c r="G267" s="141">
        <f t="shared" si="9"/>
        <v>0.00033000000000000005</v>
      </c>
    </row>
    <row r="268" spans="3:7" ht="15">
      <c r="C268" s="25" t="s">
        <v>278</v>
      </c>
      <c r="D268" s="25">
        <v>300</v>
      </c>
      <c r="E268" s="25" t="s">
        <v>284</v>
      </c>
      <c r="F268" s="141">
        <f>'LISTA DE PRODUCTOS'!$G$50</f>
        <v>0.00044000000000000007</v>
      </c>
      <c r="G268" s="141">
        <f t="shared" si="9"/>
        <v>0.13200000000000003</v>
      </c>
    </row>
    <row r="269" spans="3:7" ht="15">
      <c r="C269" s="25" t="s">
        <v>262</v>
      </c>
      <c r="D269" s="25">
        <v>2.27</v>
      </c>
      <c r="E269" s="25" t="s">
        <v>284</v>
      </c>
      <c r="F269" s="141">
        <f>'LISTA DE PRODUCTOS'!$G$59</f>
        <v>0.0015400000000000001</v>
      </c>
      <c r="G269" s="141">
        <f t="shared" si="9"/>
        <v>0.0034958000000000003</v>
      </c>
    </row>
    <row r="270" spans="3:7" ht="15">
      <c r="C270" s="27" t="s">
        <v>359</v>
      </c>
      <c r="D270" s="161">
        <v>0.05</v>
      </c>
      <c r="E270" s="27" t="s">
        <v>283</v>
      </c>
      <c r="F270" s="141">
        <f>'LISTA DE PRODUCTOS'!$G$65</f>
        <v>0.05</v>
      </c>
      <c r="G270" s="141">
        <f t="shared" si="9"/>
        <v>0.0025000000000000005</v>
      </c>
    </row>
    <row r="271" spans="3:7" ht="15.75" thickBot="1">
      <c r="C271" s="2"/>
      <c r="D271" s="2"/>
      <c r="E271" s="2"/>
      <c r="F271" s="144"/>
      <c r="G271" s="144"/>
    </row>
    <row r="272" spans="3:7" ht="15.75" thickBot="1">
      <c r="C272" s="135" t="s">
        <v>92</v>
      </c>
      <c r="D272" s="38" t="s">
        <v>185</v>
      </c>
      <c r="E272" s="39"/>
      <c r="F272" s="145" t="s">
        <v>184</v>
      </c>
      <c r="G272" s="76">
        <f>SUM(G273:G278)</f>
        <v>0.23916666666666664</v>
      </c>
    </row>
    <row r="273" spans="3:7" ht="15">
      <c r="C273" s="41" t="s">
        <v>186</v>
      </c>
      <c r="D273" s="40"/>
      <c r="E273" s="40"/>
      <c r="F273" s="143"/>
      <c r="G273" s="141"/>
    </row>
    <row r="274" spans="3:7" ht="15">
      <c r="C274" s="25" t="s">
        <v>140</v>
      </c>
      <c r="D274" s="67">
        <f>'TIEMPO P.P.'!$F$6/'TIEMPO P.P.'!$H$3</f>
        <v>0.06533333333333333</v>
      </c>
      <c r="E274" s="67"/>
      <c r="F274" s="143">
        <f>IF(DATOS!$I$9&gt;0,(DATOS!$C$4*'TIEMPO P.P.'!$I$3)/240,0)</f>
        <v>0</v>
      </c>
      <c r="G274" s="141">
        <f>D274*F274</f>
        <v>0</v>
      </c>
    </row>
    <row r="275" spans="3:7" ht="15">
      <c r="C275" s="25" t="s">
        <v>78</v>
      </c>
      <c r="D275" s="67">
        <f>'TIEMPO P.P.'!$F$17/'TIEMPO P.P.'!$H$3</f>
        <v>0.06222222222222222</v>
      </c>
      <c r="E275" s="67"/>
      <c r="F275" s="143">
        <f>IF(DATOS!$J$9&gt;0,DATOS!$C$5*'TIEMPO P.P.'!$I$14/240,0)</f>
        <v>0</v>
      </c>
      <c r="G275" s="141">
        <f>F275*D275</f>
        <v>0</v>
      </c>
    </row>
    <row r="276" spans="3:7" ht="15">
      <c r="C276" s="41" t="s">
        <v>187</v>
      </c>
      <c r="D276" s="42"/>
      <c r="E276" s="42"/>
      <c r="F276" s="143"/>
      <c r="G276" s="141"/>
    </row>
    <row r="277" spans="3:7" ht="15">
      <c r="C277" s="27" t="s">
        <v>140</v>
      </c>
      <c r="D277" s="68">
        <f>D274</f>
        <v>0.06533333333333333</v>
      </c>
      <c r="E277" s="68"/>
      <c r="F277" s="141">
        <f>IF(DATOS!$I$14&gt;0,DATOS!$C$7*'TIEMPO P.P.'!$I$3/8,0)</f>
        <v>1.875</v>
      </c>
      <c r="G277" s="141">
        <f>D277*F277</f>
        <v>0.12249999999999998</v>
      </c>
    </row>
    <row r="278" spans="3:7" ht="15.75" thickBot="1">
      <c r="C278" s="22" t="s">
        <v>78</v>
      </c>
      <c r="D278" s="71">
        <f>D275</f>
        <v>0.06222222222222222</v>
      </c>
      <c r="E278" s="71"/>
      <c r="F278" s="141">
        <f>IF(DATOS!$J$14&gt;0,DATOS!$C$8*'TIEMPO P.P.'!$I$14/8,0)</f>
        <v>1.875</v>
      </c>
      <c r="G278" s="141">
        <f>D278*F278</f>
        <v>0.11666666666666667</v>
      </c>
    </row>
    <row r="279" spans="3:7" ht="15.75" thickBot="1">
      <c r="C279" s="135" t="s">
        <v>93</v>
      </c>
      <c r="D279" s="38" t="s">
        <v>193</v>
      </c>
      <c r="E279" s="39"/>
      <c r="F279" s="145" t="s">
        <v>198</v>
      </c>
      <c r="G279" s="76">
        <f>SUM(G280:G282)</f>
        <v>0.2817083188657407</v>
      </c>
    </row>
    <row r="280" spans="3:7" ht="15">
      <c r="C280" s="25" t="s">
        <v>191</v>
      </c>
      <c r="D280" s="70">
        <f>('TIEMPO P.P.'!$E$6+'TIEMPO P.P.'!$E$17)/2</f>
        <v>0.23916666666666667</v>
      </c>
      <c r="E280" s="70"/>
      <c r="F280" s="143">
        <f>IF(DATOS!$F$51=0,DATOS!$F$20,DATOS!$F$51)</f>
        <v>1.1778745039682539</v>
      </c>
      <c r="G280" s="141">
        <f>D280*$F$28</f>
        <v>0.2817083188657407</v>
      </c>
    </row>
    <row r="281" spans="3:7" ht="15">
      <c r="C281" s="27" t="s">
        <v>192</v>
      </c>
      <c r="D281" s="69">
        <f>D280</f>
        <v>0.23916666666666667</v>
      </c>
      <c r="E281" s="69"/>
      <c r="F281" s="141">
        <f>DATOS!$F$65/ORDEN!$D$34</f>
        <v>0</v>
      </c>
      <c r="G281" s="141">
        <f>D281*$F$29</f>
        <v>0</v>
      </c>
    </row>
    <row r="282" spans="3:7" ht="15.75" thickBot="1">
      <c r="C282" s="27"/>
      <c r="D282" s="27"/>
      <c r="E282" s="27"/>
      <c r="F282" s="141"/>
      <c r="G282" s="141">
        <f>D282*F282</f>
        <v>0</v>
      </c>
    </row>
    <row r="283" spans="3:7" ht="17.25" thickBot="1" thickTop="1">
      <c r="C283" s="28"/>
      <c r="D283" s="543" t="s">
        <v>94</v>
      </c>
      <c r="E283" s="544"/>
      <c r="F283" s="545"/>
      <c r="G283" s="157">
        <f>G253+G272+G279</f>
        <v>1.023161428865741</v>
      </c>
    </row>
    <row r="284" ht="15.75" thickTop="1"/>
    <row r="286" spans="3:7" ht="19.5" thickBot="1">
      <c r="C286" s="546" t="str">
        <f>PLATOS!C17</f>
        <v>COSTO-SOPAS'!C198</v>
      </c>
      <c r="D286" s="546"/>
      <c r="E286" s="546"/>
      <c r="F286" s="546"/>
      <c r="G286" s="546"/>
    </row>
    <row r="287" spans="4:7" ht="15.75" thickBot="1">
      <c r="D287" s="31" t="s">
        <v>96</v>
      </c>
      <c r="E287" s="31"/>
      <c r="F287" s="146" t="s">
        <v>95</v>
      </c>
      <c r="G287" s="148" t="s">
        <v>97</v>
      </c>
    </row>
    <row r="288" spans="3:7" ht="15.75" thickBot="1">
      <c r="C288" s="547" t="s">
        <v>91</v>
      </c>
      <c r="D288" s="548"/>
      <c r="E288" s="548"/>
      <c r="F288" s="549"/>
      <c r="G288" s="156">
        <f>SUM(G289:G295)</f>
        <v>0</v>
      </c>
    </row>
    <row r="289" spans="3:7" ht="15">
      <c r="C289" s="25"/>
      <c r="D289" s="25"/>
      <c r="E289" s="25"/>
      <c r="F289" s="143"/>
      <c r="G289" s="141">
        <f aca="true" t="shared" si="10" ref="G289:G295">D289*F289</f>
        <v>0</v>
      </c>
    </row>
    <row r="290" spans="3:7" ht="15">
      <c r="C290" s="27"/>
      <c r="D290" s="27"/>
      <c r="E290" s="27"/>
      <c r="F290" s="141"/>
      <c r="G290" s="141">
        <f t="shared" si="10"/>
        <v>0</v>
      </c>
    </row>
    <row r="291" spans="3:7" ht="15">
      <c r="C291" s="27"/>
      <c r="D291" s="27"/>
      <c r="E291" s="27"/>
      <c r="F291" s="141"/>
      <c r="G291" s="141">
        <f t="shared" si="10"/>
        <v>0</v>
      </c>
    </row>
    <row r="292" spans="3:7" ht="15">
      <c r="C292" s="27"/>
      <c r="D292" s="27"/>
      <c r="E292" s="27"/>
      <c r="F292" s="141"/>
      <c r="G292" s="141">
        <f t="shared" si="10"/>
        <v>0</v>
      </c>
    </row>
    <row r="293" spans="3:7" ht="15">
      <c r="C293" s="27"/>
      <c r="D293" s="27"/>
      <c r="E293" s="27"/>
      <c r="F293" s="141"/>
      <c r="G293" s="141">
        <f t="shared" si="10"/>
        <v>0</v>
      </c>
    </row>
    <row r="294" spans="3:7" ht="15">
      <c r="C294" s="27"/>
      <c r="D294" s="27"/>
      <c r="E294" s="27"/>
      <c r="F294" s="141"/>
      <c r="G294" s="141">
        <f t="shared" si="10"/>
        <v>0</v>
      </c>
    </row>
    <row r="295" spans="3:7" ht="15.75" thickBot="1">
      <c r="C295" s="22"/>
      <c r="D295" s="22"/>
      <c r="E295" s="22"/>
      <c r="F295" s="147"/>
      <c r="G295" s="141">
        <f t="shared" si="10"/>
        <v>0</v>
      </c>
    </row>
    <row r="296" spans="3:7" ht="15.75" thickBot="1">
      <c r="C296" s="135" t="s">
        <v>92</v>
      </c>
      <c r="D296" s="38" t="s">
        <v>185</v>
      </c>
      <c r="E296" s="39"/>
      <c r="F296" s="145" t="s">
        <v>184</v>
      </c>
      <c r="G296" s="150">
        <f>SUM(G297:G302)</f>
        <v>0.23916666666666664</v>
      </c>
    </row>
    <row r="297" spans="3:7" ht="15">
      <c r="C297" s="41" t="s">
        <v>186</v>
      </c>
      <c r="D297" s="40"/>
      <c r="E297" s="40"/>
      <c r="F297" s="143"/>
      <c r="G297" s="141"/>
    </row>
    <row r="298" spans="3:7" ht="15">
      <c r="C298" s="25" t="s">
        <v>140</v>
      </c>
      <c r="D298" s="67">
        <f>'TIEMPO P.P.'!$F$6/'TIEMPO P.P.'!$H$3</f>
        <v>0.06533333333333333</v>
      </c>
      <c r="E298" s="67"/>
      <c r="F298" s="143">
        <f>IF(DATOS!$I$9&gt;0,(DATOS!$C$4*'TIEMPO P.P.'!$I$3)/240,0)</f>
        <v>0</v>
      </c>
      <c r="G298" s="141">
        <f>D298*F298</f>
        <v>0</v>
      </c>
    </row>
    <row r="299" spans="3:7" ht="15">
      <c r="C299" s="25" t="s">
        <v>78</v>
      </c>
      <c r="D299" s="67">
        <f>'TIEMPO P.P.'!$F$17/'TIEMPO P.P.'!$H$3</f>
        <v>0.06222222222222222</v>
      </c>
      <c r="E299" s="67"/>
      <c r="F299" s="143">
        <f>IF(DATOS!$J$9&gt;0,DATOS!$C$5*'TIEMPO P.P.'!$I$14/240,0)</f>
        <v>0</v>
      </c>
      <c r="G299" s="141">
        <f>F299*D299</f>
        <v>0</v>
      </c>
    </row>
    <row r="300" spans="3:7" ht="15">
      <c r="C300" s="41" t="s">
        <v>187</v>
      </c>
      <c r="D300" s="42"/>
      <c r="E300" s="42"/>
      <c r="F300" s="143"/>
      <c r="G300" s="141"/>
    </row>
    <row r="301" spans="3:7" ht="15">
      <c r="C301" s="27" t="s">
        <v>140</v>
      </c>
      <c r="D301" s="68">
        <f>D298</f>
        <v>0.06533333333333333</v>
      </c>
      <c r="E301" s="68"/>
      <c r="F301" s="141">
        <f>IF(DATOS!$I$14&gt;0,DATOS!$C$7*'TIEMPO P.P.'!$I$3/8,0)</f>
        <v>1.875</v>
      </c>
      <c r="G301" s="141">
        <f>D301*F301</f>
        <v>0.12249999999999998</v>
      </c>
    </row>
    <row r="302" spans="3:7" ht="15.75" thickBot="1">
      <c r="C302" s="22" t="s">
        <v>78</v>
      </c>
      <c r="D302" s="71">
        <f>D299</f>
        <v>0.06222222222222222</v>
      </c>
      <c r="E302" s="71"/>
      <c r="F302" s="141">
        <f>IF(DATOS!$J$14&gt;0,DATOS!$C$8*'TIEMPO P.P.'!$I$14/8,0)</f>
        <v>1.875</v>
      </c>
      <c r="G302" s="141">
        <f>D302*F302</f>
        <v>0.11666666666666667</v>
      </c>
    </row>
    <row r="303" spans="3:7" ht="15.75" thickBot="1">
      <c r="C303" s="135" t="s">
        <v>93</v>
      </c>
      <c r="D303" s="38" t="s">
        <v>193</v>
      </c>
      <c r="E303" s="39"/>
      <c r="F303" s="145" t="s">
        <v>198</v>
      </c>
      <c r="G303" s="150">
        <f>SUM(G304:G306)</f>
        <v>0.2817083188657407</v>
      </c>
    </row>
    <row r="304" spans="3:7" ht="15">
      <c r="C304" s="25" t="s">
        <v>191</v>
      </c>
      <c r="D304" s="70">
        <f>('TIEMPO P.P.'!$E$6+'TIEMPO P.P.'!$E$17)/2</f>
        <v>0.23916666666666667</v>
      </c>
      <c r="E304" s="70"/>
      <c r="F304" s="143">
        <f>IF(DATOS!$F$51=0,DATOS!$F$20,DATOS!$F$51)</f>
        <v>1.1778745039682539</v>
      </c>
      <c r="G304" s="141">
        <f>D304*$F$28</f>
        <v>0.2817083188657407</v>
      </c>
    </row>
    <row r="305" spans="3:7" ht="15">
      <c r="C305" s="27" t="s">
        <v>192</v>
      </c>
      <c r="D305" s="69">
        <f>D304</f>
        <v>0.23916666666666667</v>
      </c>
      <c r="E305" s="69"/>
      <c r="F305" s="141">
        <f>DATOS!$F$65/ORDEN!$D$34</f>
        <v>0</v>
      </c>
      <c r="G305" s="141">
        <f>D305*$F$29</f>
        <v>0</v>
      </c>
    </row>
    <row r="306" spans="3:7" ht="15.75" thickBot="1">
      <c r="C306" s="27"/>
      <c r="D306" s="27"/>
      <c r="E306" s="27"/>
      <c r="F306" s="141"/>
      <c r="G306" s="141">
        <f>D306*F306</f>
        <v>0</v>
      </c>
    </row>
    <row r="307" spans="3:7" ht="17.25" thickBot="1" thickTop="1">
      <c r="C307" s="28"/>
      <c r="D307" s="543" t="s">
        <v>94</v>
      </c>
      <c r="E307" s="544"/>
      <c r="F307" s="545"/>
      <c r="G307" s="151">
        <f>G288+G296+G303</f>
        <v>0.5208749855324073</v>
      </c>
    </row>
    <row r="308" ht="15.75" thickTop="1"/>
    <row r="311" spans="3:7" ht="19.5" thickBot="1">
      <c r="C311" s="546" t="str">
        <f>PLATOS!C18</f>
        <v>COSTO-SOPAS'!C220</v>
      </c>
      <c r="D311" s="546"/>
      <c r="E311" s="546"/>
      <c r="F311" s="546"/>
      <c r="G311" s="546"/>
    </row>
    <row r="312" spans="4:7" ht="15.75" thickBot="1">
      <c r="D312" s="31" t="s">
        <v>96</v>
      </c>
      <c r="E312" s="31"/>
      <c r="F312" s="146" t="s">
        <v>95</v>
      </c>
      <c r="G312" s="148" t="s">
        <v>97</v>
      </c>
    </row>
    <row r="313" spans="3:7" ht="15.75" thickBot="1">
      <c r="C313" s="547" t="s">
        <v>91</v>
      </c>
      <c r="D313" s="548"/>
      <c r="E313" s="548"/>
      <c r="F313" s="549"/>
      <c r="G313" s="149">
        <f>SUM(G314:G320)</f>
        <v>0</v>
      </c>
    </row>
    <row r="314" spans="3:7" ht="15">
      <c r="C314" s="25"/>
      <c r="D314" s="25"/>
      <c r="E314" s="25"/>
      <c r="F314" s="143"/>
      <c r="G314" s="141">
        <f aca="true" t="shared" si="11" ref="G314:G320">D314*F314</f>
        <v>0</v>
      </c>
    </row>
    <row r="315" spans="3:7" ht="15">
      <c r="C315" s="27"/>
      <c r="D315" s="27"/>
      <c r="E315" s="27"/>
      <c r="F315" s="141"/>
      <c r="G315" s="141">
        <f t="shared" si="11"/>
        <v>0</v>
      </c>
    </row>
    <row r="316" spans="3:7" ht="15">
      <c r="C316" s="27"/>
      <c r="D316" s="27"/>
      <c r="E316" s="27"/>
      <c r="F316" s="141"/>
      <c r="G316" s="141">
        <f t="shared" si="11"/>
        <v>0</v>
      </c>
    </row>
    <row r="317" spans="3:7" ht="15">
      <c r="C317" s="27"/>
      <c r="D317" s="27"/>
      <c r="E317" s="27"/>
      <c r="F317" s="141"/>
      <c r="G317" s="141">
        <f t="shared" si="11"/>
        <v>0</v>
      </c>
    </row>
    <row r="318" spans="3:7" ht="15">
      <c r="C318" s="27"/>
      <c r="D318" s="27"/>
      <c r="E318" s="27"/>
      <c r="F318" s="141"/>
      <c r="G318" s="141">
        <f t="shared" si="11"/>
        <v>0</v>
      </c>
    </row>
    <row r="319" spans="3:7" ht="15">
      <c r="C319" s="27"/>
      <c r="D319" s="27"/>
      <c r="E319" s="27"/>
      <c r="F319" s="141"/>
      <c r="G319" s="141">
        <f t="shared" si="11"/>
        <v>0</v>
      </c>
    </row>
    <row r="320" spans="3:7" ht="15.75" thickBot="1">
      <c r="C320" s="22"/>
      <c r="D320" s="22"/>
      <c r="E320" s="22"/>
      <c r="F320" s="147"/>
      <c r="G320" s="141">
        <f t="shared" si="11"/>
        <v>0</v>
      </c>
    </row>
    <row r="321" spans="3:7" ht="15.75" thickBot="1">
      <c r="C321" s="135" t="s">
        <v>92</v>
      </c>
      <c r="D321" s="38" t="s">
        <v>185</v>
      </c>
      <c r="E321" s="39"/>
      <c r="F321" s="145" t="s">
        <v>184</v>
      </c>
      <c r="G321" s="150">
        <f>SUM(G322:G327)</f>
        <v>0.23916666666666664</v>
      </c>
    </row>
    <row r="322" spans="3:7" ht="15">
      <c r="C322" s="41" t="s">
        <v>186</v>
      </c>
      <c r="D322" s="40"/>
      <c r="E322" s="40"/>
      <c r="F322" s="143"/>
      <c r="G322" s="141"/>
    </row>
    <row r="323" spans="3:7" ht="15">
      <c r="C323" s="25" t="s">
        <v>140</v>
      </c>
      <c r="D323" s="67">
        <f>'TIEMPO P.P.'!$F$6/'TIEMPO P.P.'!$H$3</f>
        <v>0.06533333333333333</v>
      </c>
      <c r="E323" s="67"/>
      <c r="F323" s="143">
        <f>IF(DATOS!$I$9&gt;0,(DATOS!$C$4*'TIEMPO P.P.'!$I$3)/240,0)</f>
        <v>0</v>
      </c>
      <c r="G323" s="141">
        <f>D323*F323</f>
        <v>0</v>
      </c>
    </row>
    <row r="324" spans="3:7" ht="15">
      <c r="C324" s="25" t="s">
        <v>78</v>
      </c>
      <c r="D324" s="67">
        <f>'TIEMPO P.P.'!$F$17/'TIEMPO P.P.'!$H$3</f>
        <v>0.06222222222222222</v>
      </c>
      <c r="E324" s="67"/>
      <c r="F324" s="143">
        <f>IF(DATOS!$J$9&gt;0,DATOS!$C$5*'TIEMPO P.P.'!$I$14/240,0)</f>
        <v>0</v>
      </c>
      <c r="G324" s="141">
        <f>F324*D324</f>
        <v>0</v>
      </c>
    </row>
    <row r="325" spans="3:7" ht="15">
      <c r="C325" s="41" t="s">
        <v>187</v>
      </c>
      <c r="D325" s="42"/>
      <c r="E325" s="42"/>
      <c r="F325" s="143"/>
      <c r="G325" s="141"/>
    </row>
    <row r="326" spans="3:7" ht="15">
      <c r="C326" s="27" t="s">
        <v>140</v>
      </c>
      <c r="D326" s="68">
        <f>D323</f>
        <v>0.06533333333333333</v>
      </c>
      <c r="E326" s="68"/>
      <c r="F326" s="141">
        <f>IF(DATOS!$I$14&gt;0,DATOS!$C$7*'TIEMPO P.P.'!$I$3/8,0)</f>
        <v>1.875</v>
      </c>
      <c r="G326" s="141">
        <f>D326*F326</f>
        <v>0.12249999999999998</v>
      </c>
    </row>
    <row r="327" spans="3:7" ht="15.75" thickBot="1">
      <c r="C327" s="22" t="s">
        <v>78</v>
      </c>
      <c r="D327" s="71">
        <f>D324</f>
        <v>0.06222222222222222</v>
      </c>
      <c r="E327" s="71"/>
      <c r="F327" s="141">
        <f>IF(DATOS!$J$14&gt;0,DATOS!$C$8*'TIEMPO P.P.'!$I$14/8,0)</f>
        <v>1.875</v>
      </c>
      <c r="G327" s="141">
        <f>D327*F327</f>
        <v>0.11666666666666667</v>
      </c>
    </row>
    <row r="328" spans="3:7" ht="15.75" thickBot="1">
      <c r="C328" s="135" t="s">
        <v>93</v>
      </c>
      <c r="D328" s="38" t="s">
        <v>193</v>
      </c>
      <c r="E328" s="39"/>
      <c r="F328" s="145" t="s">
        <v>198</v>
      </c>
      <c r="G328" s="150">
        <f>SUM(G329:G331)</f>
        <v>0.2817083188657407</v>
      </c>
    </row>
    <row r="329" spans="3:7" ht="15">
      <c r="C329" s="25" t="s">
        <v>191</v>
      </c>
      <c r="D329" s="70">
        <f>('TIEMPO P.P.'!$E$6+'TIEMPO P.P.'!$E$17)/2</f>
        <v>0.23916666666666667</v>
      </c>
      <c r="E329" s="70"/>
      <c r="F329" s="143">
        <f>IF(DATOS!$F$51=0,DATOS!$F$20,DATOS!$F$51)</f>
        <v>1.1778745039682539</v>
      </c>
      <c r="G329" s="141">
        <f>D329*$F$28</f>
        <v>0.2817083188657407</v>
      </c>
    </row>
    <row r="330" spans="3:7" ht="15">
      <c r="C330" s="27" t="s">
        <v>192</v>
      </c>
      <c r="D330" s="69">
        <f>D329</f>
        <v>0.23916666666666667</v>
      </c>
      <c r="E330" s="69"/>
      <c r="F330" s="141">
        <f>DATOS!$F$65/ORDEN!$D$34</f>
        <v>0</v>
      </c>
      <c r="G330" s="141">
        <f>D330*$F$29</f>
        <v>0</v>
      </c>
    </row>
    <row r="331" spans="3:7" ht="15.75" thickBot="1">
      <c r="C331" s="27"/>
      <c r="D331" s="27"/>
      <c r="E331" s="27"/>
      <c r="F331" s="141"/>
      <c r="G331" s="141">
        <f>D331*F331</f>
        <v>0</v>
      </c>
    </row>
    <row r="332" spans="3:7" ht="17.25" thickBot="1" thickTop="1">
      <c r="C332" s="28"/>
      <c r="D332" s="543" t="s">
        <v>94</v>
      </c>
      <c r="E332" s="544"/>
      <c r="F332" s="545"/>
      <c r="G332" s="151">
        <f>G313+G321+G328</f>
        <v>0.5208749855324073</v>
      </c>
    </row>
    <row r="333" ht="15.75" thickTop="1"/>
    <row r="335" spans="3:7" ht="19.5" thickBot="1">
      <c r="C335" s="546" t="str">
        <f>PLATOS!C19</f>
        <v>COSTO-SOPAS'!C241</v>
      </c>
      <c r="D335" s="546"/>
      <c r="E335" s="546"/>
      <c r="F335" s="546"/>
      <c r="G335" s="546"/>
    </row>
    <row r="336" spans="4:7" ht="15.75" thickBot="1">
      <c r="D336" s="31" t="s">
        <v>96</v>
      </c>
      <c r="E336" s="31"/>
      <c r="F336" s="146" t="s">
        <v>95</v>
      </c>
      <c r="G336" s="148" t="s">
        <v>97</v>
      </c>
    </row>
    <row r="337" spans="3:7" ht="15.75" thickBot="1">
      <c r="C337" s="547" t="s">
        <v>91</v>
      </c>
      <c r="D337" s="548"/>
      <c r="E337" s="548"/>
      <c r="F337" s="549"/>
      <c r="G337" s="149">
        <f>SUM(G338:G344)</f>
        <v>0</v>
      </c>
    </row>
    <row r="338" spans="3:7" ht="15">
      <c r="C338" s="25"/>
      <c r="D338" s="25"/>
      <c r="E338" s="25"/>
      <c r="F338" s="143"/>
      <c r="G338" s="141">
        <f aca="true" t="shared" si="12" ref="G338:G344">D338*F338</f>
        <v>0</v>
      </c>
    </row>
    <row r="339" spans="3:7" ht="15">
      <c r="C339" s="27"/>
      <c r="D339" s="27"/>
      <c r="E339" s="27"/>
      <c r="F339" s="141"/>
      <c r="G339" s="141">
        <f t="shared" si="12"/>
        <v>0</v>
      </c>
    </row>
    <row r="340" spans="3:7" ht="15">
      <c r="C340" s="27"/>
      <c r="D340" s="27"/>
      <c r="E340" s="27"/>
      <c r="F340" s="141"/>
      <c r="G340" s="141">
        <f t="shared" si="12"/>
        <v>0</v>
      </c>
    </row>
    <row r="341" spans="3:7" ht="15">
      <c r="C341" s="27"/>
      <c r="D341" s="27"/>
      <c r="E341" s="27"/>
      <c r="F341" s="141"/>
      <c r="G341" s="141">
        <f t="shared" si="12"/>
        <v>0</v>
      </c>
    </row>
    <row r="342" spans="3:7" ht="15">
      <c r="C342" s="27"/>
      <c r="D342" s="27"/>
      <c r="E342" s="27"/>
      <c r="F342" s="141"/>
      <c r="G342" s="141">
        <f t="shared" si="12"/>
        <v>0</v>
      </c>
    </row>
    <row r="343" spans="3:7" ht="15">
      <c r="C343" s="27"/>
      <c r="D343" s="27"/>
      <c r="E343" s="27"/>
      <c r="F343" s="141"/>
      <c r="G343" s="141">
        <f t="shared" si="12"/>
        <v>0</v>
      </c>
    </row>
    <row r="344" spans="3:7" ht="15.75" thickBot="1">
      <c r="C344" s="22"/>
      <c r="D344" s="22"/>
      <c r="E344" s="22"/>
      <c r="F344" s="147"/>
      <c r="G344" s="141">
        <f t="shared" si="12"/>
        <v>0</v>
      </c>
    </row>
    <row r="345" spans="3:7" ht="15.75" thickBot="1">
      <c r="C345" s="135" t="s">
        <v>92</v>
      </c>
      <c r="D345" s="38" t="s">
        <v>185</v>
      </c>
      <c r="E345" s="39"/>
      <c r="F345" s="145" t="s">
        <v>184</v>
      </c>
      <c r="G345" s="150">
        <f>SUM(G346:G351)</f>
        <v>0.23916666666666664</v>
      </c>
    </row>
    <row r="346" spans="3:7" ht="15">
      <c r="C346" s="41" t="s">
        <v>186</v>
      </c>
      <c r="D346" s="40"/>
      <c r="E346" s="40"/>
      <c r="F346" s="143"/>
      <c r="G346" s="141"/>
    </row>
    <row r="347" spans="3:7" ht="15">
      <c r="C347" s="25" t="s">
        <v>140</v>
      </c>
      <c r="D347" s="67">
        <f>'TIEMPO P.P.'!$F$6/'TIEMPO P.P.'!$H$3</f>
        <v>0.06533333333333333</v>
      </c>
      <c r="E347" s="67"/>
      <c r="F347" s="143">
        <f>IF(DATOS!$I$9&gt;0,(DATOS!$C$4*'TIEMPO P.P.'!$I$3)/240,0)</f>
        <v>0</v>
      </c>
      <c r="G347" s="141">
        <f>D347*F347</f>
        <v>0</v>
      </c>
    </row>
    <row r="348" spans="3:7" ht="15">
      <c r="C348" s="25" t="s">
        <v>78</v>
      </c>
      <c r="D348" s="67">
        <f>'TIEMPO P.P.'!$F$17/'TIEMPO P.P.'!$H$3</f>
        <v>0.06222222222222222</v>
      </c>
      <c r="E348" s="67"/>
      <c r="F348" s="143">
        <f>IF(DATOS!$J$9&gt;0,DATOS!$C$5*'TIEMPO P.P.'!$I$14/240,0)</f>
        <v>0</v>
      </c>
      <c r="G348" s="141">
        <f>F348*D348</f>
        <v>0</v>
      </c>
    </row>
    <row r="349" spans="3:7" ht="15">
      <c r="C349" s="41" t="s">
        <v>187</v>
      </c>
      <c r="D349" s="42"/>
      <c r="E349" s="42"/>
      <c r="F349" s="143"/>
      <c r="G349" s="141"/>
    </row>
    <row r="350" spans="3:7" ht="15">
      <c r="C350" s="27" t="s">
        <v>140</v>
      </c>
      <c r="D350" s="68">
        <f>D347</f>
        <v>0.06533333333333333</v>
      </c>
      <c r="E350" s="68"/>
      <c r="F350" s="141">
        <f>IF(DATOS!$I$14&gt;0,DATOS!$C$7*'TIEMPO P.P.'!$I$3/8,0)</f>
        <v>1.875</v>
      </c>
      <c r="G350" s="141">
        <f>D350*F350</f>
        <v>0.12249999999999998</v>
      </c>
    </row>
    <row r="351" spans="3:7" ht="15.75" thickBot="1">
      <c r="C351" s="22" t="s">
        <v>78</v>
      </c>
      <c r="D351" s="71">
        <f>D348</f>
        <v>0.06222222222222222</v>
      </c>
      <c r="E351" s="71"/>
      <c r="F351" s="141">
        <f>IF(DATOS!$J$14&gt;0,DATOS!$C$8*'TIEMPO P.P.'!$I$14/8,0)</f>
        <v>1.875</v>
      </c>
      <c r="G351" s="141">
        <f>D351*F351</f>
        <v>0.11666666666666667</v>
      </c>
    </row>
    <row r="352" spans="3:7" ht="15.75" thickBot="1">
      <c r="C352" s="135" t="s">
        <v>93</v>
      </c>
      <c r="D352" s="38" t="s">
        <v>193</v>
      </c>
      <c r="E352" s="39"/>
      <c r="F352" s="145" t="s">
        <v>198</v>
      </c>
      <c r="G352" s="150">
        <f>SUM(G353:G355)</f>
        <v>0.2817083188657407</v>
      </c>
    </row>
    <row r="353" spans="3:7" ht="15">
      <c r="C353" s="25" t="s">
        <v>191</v>
      </c>
      <c r="D353" s="70">
        <f>('TIEMPO P.P.'!$E$6+'TIEMPO P.P.'!$E$17)/2</f>
        <v>0.23916666666666667</v>
      </c>
      <c r="E353" s="70"/>
      <c r="F353" s="143">
        <f>IF(DATOS!$F$51=0,DATOS!$F$20,DATOS!$F$51)</f>
        <v>1.1778745039682539</v>
      </c>
      <c r="G353" s="141">
        <f>D353*$F$28</f>
        <v>0.2817083188657407</v>
      </c>
    </row>
    <row r="354" spans="3:7" ht="15">
      <c r="C354" s="27" t="s">
        <v>192</v>
      </c>
      <c r="D354" s="69">
        <f>D353</f>
        <v>0.23916666666666667</v>
      </c>
      <c r="E354" s="69"/>
      <c r="F354" s="141">
        <f>DATOS!$F$65/ORDEN!$D$34</f>
        <v>0</v>
      </c>
      <c r="G354" s="141">
        <f>D354*$F$29</f>
        <v>0</v>
      </c>
    </row>
    <row r="355" spans="3:7" ht="15.75" thickBot="1">
      <c r="C355" s="27"/>
      <c r="D355" s="27"/>
      <c r="E355" s="27"/>
      <c r="F355" s="141"/>
      <c r="G355" s="141">
        <f>D355*F355</f>
        <v>0</v>
      </c>
    </row>
    <row r="356" spans="3:7" ht="17.25" thickBot="1" thickTop="1">
      <c r="C356" s="28"/>
      <c r="D356" s="543" t="s">
        <v>94</v>
      </c>
      <c r="E356" s="544"/>
      <c r="F356" s="545"/>
      <c r="G356" s="151">
        <f>G337+G345+G352</f>
        <v>0.5208749855324073</v>
      </c>
    </row>
    <row r="357" ht="15.75" thickTop="1"/>
    <row r="360" spans="3:7" ht="19.5" thickBot="1">
      <c r="C360" s="546" t="str">
        <f>PLATOS!C20</f>
        <v>COSTO-SOPAS'!C263</v>
      </c>
      <c r="D360" s="546"/>
      <c r="E360" s="546"/>
      <c r="F360" s="546"/>
      <c r="G360" s="546"/>
    </row>
    <row r="361" spans="4:7" ht="15.75" thickBot="1">
      <c r="D361" s="31" t="s">
        <v>96</v>
      </c>
      <c r="E361" s="31"/>
      <c r="F361" s="146" t="s">
        <v>95</v>
      </c>
      <c r="G361" s="148" t="s">
        <v>97</v>
      </c>
    </row>
    <row r="362" spans="3:7" ht="15.75" thickBot="1">
      <c r="C362" s="547" t="s">
        <v>91</v>
      </c>
      <c r="D362" s="548"/>
      <c r="E362" s="548"/>
      <c r="F362" s="549"/>
      <c r="G362" s="149">
        <f>SUM(G363:G369)</f>
        <v>0</v>
      </c>
    </row>
    <row r="363" spans="3:7" ht="15">
      <c r="C363" s="25"/>
      <c r="D363" s="25"/>
      <c r="E363" s="25"/>
      <c r="F363" s="143"/>
      <c r="G363" s="141">
        <f aca="true" t="shared" si="13" ref="G363:G369">D363*F363</f>
        <v>0</v>
      </c>
    </row>
    <row r="364" spans="3:7" ht="15">
      <c r="C364" s="27"/>
      <c r="D364" s="27"/>
      <c r="E364" s="27"/>
      <c r="F364" s="141"/>
      <c r="G364" s="141">
        <f t="shared" si="13"/>
        <v>0</v>
      </c>
    </row>
    <row r="365" spans="3:7" ht="15">
      <c r="C365" s="27"/>
      <c r="D365" s="27"/>
      <c r="E365" s="27"/>
      <c r="F365" s="141"/>
      <c r="G365" s="141">
        <f t="shared" si="13"/>
        <v>0</v>
      </c>
    </row>
    <row r="366" spans="3:7" ht="15">
      <c r="C366" s="27"/>
      <c r="D366" s="27"/>
      <c r="E366" s="27"/>
      <c r="F366" s="141"/>
      <c r="G366" s="141">
        <f t="shared" si="13"/>
        <v>0</v>
      </c>
    </row>
    <row r="367" spans="3:7" ht="15">
      <c r="C367" s="27"/>
      <c r="D367" s="27"/>
      <c r="E367" s="27"/>
      <c r="F367" s="141"/>
      <c r="G367" s="141">
        <f t="shared" si="13"/>
        <v>0</v>
      </c>
    </row>
    <row r="368" spans="3:7" ht="15">
      <c r="C368" s="27"/>
      <c r="D368" s="27"/>
      <c r="E368" s="27"/>
      <c r="F368" s="141"/>
      <c r="G368" s="141">
        <f t="shared" si="13"/>
        <v>0</v>
      </c>
    </row>
    <row r="369" spans="3:7" ht="15.75" thickBot="1">
      <c r="C369" s="22"/>
      <c r="D369" s="22"/>
      <c r="E369" s="22"/>
      <c r="F369" s="147"/>
      <c r="G369" s="141">
        <f t="shared" si="13"/>
        <v>0</v>
      </c>
    </row>
    <row r="370" spans="3:7" ht="15.75" thickBot="1">
      <c r="C370" s="135" t="s">
        <v>92</v>
      </c>
      <c r="D370" s="38" t="s">
        <v>185</v>
      </c>
      <c r="E370" s="39"/>
      <c r="F370" s="145" t="s">
        <v>184</v>
      </c>
      <c r="G370" s="150">
        <f>SUM(G371:G376)</f>
        <v>0.23916666666666664</v>
      </c>
    </row>
    <row r="371" spans="3:7" ht="15">
      <c r="C371" s="41" t="s">
        <v>186</v>
      </c>
      <c r="D371" s="40"/>
      <c r="E371" s="40"/>
      <c r="F371" s="143"/>
      <c r="G371" s="141"/>
    </row>
    <row r="372" spans="3:7" ht="15">
      <c r="C372" s="25" t="s">
        <v>140</v>
      </c>
      <c r="D372" s="67">
        <f>'TIEMPO P.P.'!$F$6/'TIEMPO P.P.'!$H$3</f>
        <v>0.06533333333333333</v>
      </c>
      <c r="E372" s="67"/>
      <c r="F372" s="143">
        <f>IF(DATOS!$I$9&gt;0,(DATOS!$C$4*'TIEMPO P.P.'!$I$3)/240,0)</f>
        <v>0</v>
      </c>
      <c r="G372" s="141">
        <f>D372*F372</f>
        <v>0</v>
      </c>
    </row>
    <row r="373" spans="3:7" ht="15">
      <c r="C373" s="25" t="s">
        <v>78</v>
      </c>
      <c r="D373" s="67">
        <f>'TIEMPO P.P.'!$F$17/'TIEMPO P.P.'!$H$3</f>
        <v>0.06222222222222222</v>
      </c>
      <c r="E373" s="67"/>
      <c r="F373" s="143">
        <f>IF(DATOS!$J$9&gt;0,DATOS!$C$5*'TIEMPO P.P.'!$I$14/240,0)</f>
        <v>0</v>
      </c>
      <c r="G373" s="141">
        <f>F373*D373</f>
        <v>0</v>
      </c>
    </row>
    <row r="374" spans="3:7" ht="15">
      <c r="C374" s="41" t="s">
        <v>187</v>
      </c>
      <c r="D374" s="42"/>
      <c r="E374" s="42"/>
      <c r="F374" s="143"/>
      <c r="G374" s="141"/>
    </row>
    <row r="375" spans="3:7" ht="15">
      <c r="C375" s="27" t="s">
        <v>140</v>
      </c>
      <c r="D375" s="68">
        <f>D372</f>
        <v>0.06533333333333333</v>
      </c>
      <c r="E375" s="68"/>
      <c r="F375" s="141">
        <f>IF(DATOS!$I$14&gt;0,DATOS!$C$7*'TIEMPO P.P.'!$I$3/8,0)</f>
        <v>1.875</v>
      </c>
      <c r="G375" s="141">
        <f>D375*F375</f>
        <v>0.12249999999999998</v>
      </c>
    </row>
    <row r="376" spans="3:7" ht="15.75" thickBot="1">
      <c r="C376" s="22" t="s">
        <v>78</v>
      </c>
      <c r="D376" s="71">
        <f>D373</f>
        <v>0.06222222222222222</v>
      </c>
      <c r="E376" s="71"/>
      <c r="F376" s="141">
        <f>IF(DATOS!$J$14&gt;0,DATOS!$C$8*'TIEMPO P.P.'!$I$14/8,0)</f>
        <v>1.875</v>
      </c>
      <c r="G376" s="141">
        <f>D376*F376</f>
        <v>0.11666666666666667</v>
      </c>
    </row>
    <row r="377" spans="3:7" ht="15.75" thickBot="1">
      <c r="C377" s="135" t="s">
        <v>93</v>
      </c>
      <c r="D377" s="38" t="s">
        <v>193</v>
      </c>
      <c r="E377" s="39"/>
      <c r="F377" s="145" t="s">
        <v>198</v>
      </c>
      <c r="G377" s="150">
        <f>SUM(G378:G380)</f>
        <v>0.2817083188657407</v>
      </c>
    </row>
    <row r="378" spans="3:7" ht="15">
      <c r="C378" s="25" t="s">
        <v>191</v>
      </c>
      <c r="D378" s="70">
        <f>('TIEMPO P.P.'!$E$6+'TIEMPO P.P.'!$E$17)/2</f>
        <v>0.23916666666666667</v>
      </c>
      <c r="E378" s="70"/>
      <c r="F378" s="143">
        <f>IF(DATOS!$F$51=0,DATOS!$F$20,DATOS!$F$51)</f>
        <v>1.1778745039682539</v>
      </c>
      <c r="G378" s="141">
        <f>D378*$F$28</f>
        <v>0.2817083188657407</v>
      </c>
    </row>
    <row r="379" spans="3:7" ht="15">
      <c r="C379" s="27" t="s">
        <v>192</v>
      </c>
      <c r="D379" s="69">
        <f>D378</f>
        <v>0.23916666666666667</v>
      </c>
      <c r="E379" s="69"/>
      <c r="F379" s="141">
        <f>DATOS!$F$65/ORDEN!$D$34</f>
        <v>0</v>
      </c>
      <c r="G379" s="141">
        <f>D379*$F$29</f>
        <v>0</v>
      </c>
    </row>
    <row r="380" spans="3:7" ht="15.75" thickBot="1">
      <c r="C380" s="27"/>
      <c r="D380" s="27"/>
      <c r="E380" s="27"/>
      <c r="F380" s="141"/>
      <c r="G380" s="141">
        <f>D380*F380</f>
        <v>0</v>
      </c>
    </row>
    <row r="381" spans="3:7" ht="17.25" thickBot="1" thickTop="1">
      <c r="C381" s="28"/>
      <c r="D381" s="543" t="s">
        <v>94</v>
      </c>
      <c r="E381" s="544"/>
      <c r="F381" s="545"/>
      <c r="G381" s="151">
        <f>G362+G370+G377</f>
        <v>0.5208749855324073</v>
      </c>
    </row>
    <row r="382" ht="15.75" thickTop="1"/>
  </sheetData>
  <mergeCells count="41">
    <mergeCell ref="D60:F60"/>
    <mergeCell ref="C1:H1"/>
    <mergeCell ref="C3:H3"/>
    <mergeCell ref="C5:G5"/>
    <mergeCell ref="C7:F7"/>
    <mergeCell ref="D31:F31"/>
    <mergeCell ref="C34:G34"/>
    <mergeCell ref="C36:F36"/>
    <mergeCell ref="C125:F125"/>
    <mergeCell ref="C64:G64"/>
    <mergeCell ref="C66:F66"/>
    <mergeCell ref="D90:F90"/>
    <mergeCell ref="C93:G93"/>
    <mergeCell ref="C95:F95"/>
    <mergeCell ref="D119:F119"/>
    <mergeCell ref="C123:G123"/>
    <mergeCell ref="D147:F147"/>
    <mergeCell ref="C150:G150"/>
    <mergeCell ref="C152:F152"/>
    <mergeCell ref="D174:F174"/>
    <mergeCell ref="C178:G178"/>
    <mergeCell ref="C180:F180"/>
    <mergeCell ref="C286:G286"/>
    <mergeCell ref="D213:F213"/>
    <mergeCell ref="C216:G216"/>
    <mergeCell ref="C218:F218"/>
    <mergeCell ref="D247:F247"/>
    <mergeCell ref="C251:G251"/>
    <mergeCell ref="C253:F253"/>
    <mergeCell ref="D283:F283"/>
    <mergeCell ref="C288:F288"/>
    <mergeCell ref="D307:F307"/>
    <mergeCell ref="C311:G311"/>
    <mergeCell ref="C313:F313"/>
    <mergeCell ref="D332:F332"/>
    <mergeCell ref="C335:G335"/>
    <mergeCell ref="C337:F337"/>
    <mergeCell ref="D381:F381"/>
    <mergeCell ref="D356:F356"/>
    <mergeCell ref="C360:G360"/>
    <mergeCell ref="C362:F3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">
    <tabColor rgb="FFFFFF00"/>
  </sheetPr>
  <dimension ref="C1:H475"/>
  <sheetViews>
    <sheetView workbookViewId="0" topLeftCell="A1">
      <pane ySplit="3" topLeftCell="A5" activePane="bottomLeft" state="frozen"/>
      <selection pane="topLeft" activeCell="F152" sqref="F152"/>
      <selection pane="bottomLeft" activeCell="C5" sqref="C5:G5"/>
    </sheetView>
  </sheetViews>
  <sheetFormatPr defaultColWidth="11.421875" defaultRowHeight="15"/>
  <cols>
    <col min="1" max="2" width="11.421875" style="21" customWidth="1"/>
    <col min="3" max="3" width="25.7109375" style="21" customWidth="1"/>
    <col min="4" max="5" width="11.421875" style="21" customWidth="1"/>
    <col min="6" max="6" width="11.421875" style="140" customWidth="1"/>
    <col min="7" max="7" width="12.421875" style="118" customWidth="1"/>
    <col min="8" max="16384" width="11.421875" style="21" customWidth="1"/>
  </cols>
  <sheetData>
    <row r="1" spans="3:8" ht="19.5">
      <c r="C1" s="550" t="s">
        <v>98</v>
      </c>
      <c r="D1" s="550"/>
      <c r="E1" s="550"/>
      <c r="F1" s="550"/>
      <c r="G1" s="550"/>
      <c r="H1" s="550"/>
    </row>
    <row r="2" ht="15"/>
    <row r="3" spans="3:8" ht="21">
      <c r="C3" s="551" t="s">
        <v>412</v>
      </c>
      <c r="D3" s="551"/>
      <c r="E3" s="551"/>
      <c r="F3" s="551"/>
      <c r="G3" s="551"/>
      <c r="H3" s="551"/>
    </row>
    <row r="5" spans="3:7" ht="15">
      <c r="C5" s="553" t="s">
        <v>370</v>
      </c>
      <c r="D5" s="553"/>
      <c r="E5" s="553"/>
      <c r="F5" s="553"/>
      <c r="G5" s="553"/>
    </row>
    <row r="6" spans="3:7" ht="15">
      <c r="C6" s="127" t="s">
        <v>91</v>
      </c>
      <c r="D6" s="127" t="s">
        <v>138</v>
      </c>
      <c r="E6" s="127"/>
      <c r="F6" s="152" t="s">
        <v>371</v>
      </c>
      <c r="G6" s="138" t="s">
        <v>131</v>
      </c>
    </row>
    <row r="7" spans="3:7" ht="15">
      <c r="C7" s="16" t="s">
        <v>263</v>
      </c>
      <c r="D7" s="25">
        <v>2.27</v>
      </c>
      <c r="E7" s="25" t="s">
        <v>284</v>
      </c>
      <c r="F7" s="143">
        <f>'LISTA DE PRODUCTOS'!$G$3</f>
        <v>0.00033</v>
      </c>
      <c r="G7" s="115">
        <f aca="true" t="shared" si="0" ref="G7:G17">F7*D7</f>
        <v>0.0007491</v>
      </c>
    </row>
    <row r="8" spans="3:7" ht="15">
      <c r="C8" s="16" t="s">
        <v>286</v>
      </c>
      <c r="D8" s="25">
        <v>54.55</v>
      </c>
      <c r="E8" s="25" t="s">
        <v>284</v>
      </c>
      <c r="F8" s="141">
        <f>'LISTA DE PRODUCTOS'!$G$13</f>
        <v>0.0007260000000000001</v>
      </c>
      <c r="G8" s="115">
        <f t="shared" si="0"/>
        <v>0.0396033</v>
      </c>
    </row>
    <row r="9" spans="3:7" ht="15">
      <c r="C9" s="16" t="s">
        <v>287</v>
      </c>
      <c r="D9" s="25">
        <v>36.37</v>
      </c>
      <c r="E9" s="25" t="s">
        <v>284</v>
      </c>
      <c r="F9" s="141">
        <f>'LISTA DE PRODUCTOS'!$G$14</f>
        <v>0.0022</v>
      </c>
      <c r="G9" s="115">
        <f>F9*D9</f>
        <v>0.080014</v>
      </c>
    </row>
    <row r="10" spans="3:7" ht="15">
      <c r="C10" s="16" t="s">
        <v>288</v>
      </c>
      <c r="D10" s="25">
        <v>36.37</v>
      </c>
      <c r="E10" s="25" t="s">
        <v>284</v>
      </c>
      <c r="F10" s="143">
        <f>'LISTA DE PRODUCTOS'!$G$21</f>
        <v>0.0022</v>
      </c>
      <c r="G10" s="115">
        <f t="shared" si="0"/>
        <v>0.080014</v>
      </c>
    </row>
    <row r="11" spans="3:7" ht="15">
      <c r="C11" s="16" t="s">
        <v>424</v>
      </c>
      <c r="D11" s="25">
        <v>4.56</v>
      </c>
      <c r="E11" s="25" t="s">
        <v>284</v>
      </c>
      <c r="F11" s="143">
        <f>'LISTA DE PRODUCTOS'!$G$32</f>
        <v>0.00946</v>
      </c>
      <c r="G11" s="115">
        <f t="shared" si="0"/>
        <v>0.0431376</v>
      </c>
    </row>
    <row r="12" spans="3:7" ht="15">
      <c r="C12" s="16" t="s">
        <v>290</v>
      </c>
      <c r="D12" s="27">
        <v>0.42</v>
      </c>
      <c r="E12" s="27" t="s">
        <v>284</v>
      </c>
      <c r="F12" s="141">
        <f>'LISTA DE PRODUCTOS'!$G$39</f>
        <v>0.00022275000000000005</v>
      </c>
      <c r="G12" s="115">
        <f t="shared" si="0"/>
        <v>9.355500000000002E-05</v>
      </c>
    </row>
    <row r="13" spans="3:7" ht="15">
      <c r="C13" s="16" t="s">
        <v>266</v>
      </c>
      <c r="D13" s="27">
        <v>4</v>
      </c>
      <c r="E13" s="27" t="s">
        <v>284</v>
      </c>
      <c r="F13" s="141">
        <f>'LISTA DE PRODUCTOS'!$G$43</f>
        <v>1.639E-05</v>
      </c>
      <c r="G13" s="115">
        <f t="shared" si="0"/>
        <v>6.556E-05</v>
      </c>
    </row>
    <row r="14" spans="3:7" ht="15">
      <c r="C14" s="16" t="s">
        <v>278</v>
      </c>
      <c r="D14" s="27">
        <v>140</v>
      </c>
      <c r="E14" s="27" t="s">
        <v>284</v>
      </c>
      <c r="F14" s="141">
        <f>'LISTA DE PRODUCTOS'!$G$50</f>
        <v>0.00044000000000000007</v>
      </c>
      <c r="G14" s="115">
        <f>F14*D14</f>
        <v>0.06160000000000001</v>
      </c>
    </row>
    <row r="15" spans="3:7" ht="15">
      <c r="C15" s="16" t="s">
        <v>289</v>
      </c>
      <c r="D15" s="27">
        <v>0.25</v>
      </c>
      <c r="E15" s="27" t="s">
        <v>284</v>
      </c>
      <c r="F15" s="147">
        <f>'LISTA DE PRODUCTOS'!$G$51</f>
        <v>0.0011</v>
      </c>
      <c r="G15" s="115">
        <f t="shared" si="0"/>
        <v>0.000275</v>
      </c>
    </row>
    <row r="16" spans="3:7" ht="15">
      <c r="C16" s="16" t="s">
        <v>262</v>
      </c>
      <c r="D16" s="25">
        <v>2.27</v>
      </c>
      <c r="E16" s="27" t="s">
        <v>284</v>
      </c>
      <c r="F16" s="141">
        <f>'LISTA DE PRODUCTOS'!$G$59</f>
        <v>0.0015400000000000001</v>
      </c>
      <c r="G16" s="115">
        <f t="shared" si="0"/>
        <v>0.0034958000000000003</v>
      </c>
    </row>
    <row r="17" spans="3:7" ht="15">
      <c r="C17" s="16" t="s">
        <v>279</v>
      </c>
      <c r="D17" s="25">
        <v>36.37</v>
      </c>
      <c r="E17" s="22" t="s">
        <v>284</v>
      </c>
      <c r="F17" s="141">
        <f>'LISTA DE PRODUCTOS'!$G$67</f>
        <v>0.0022</v>
      </c>
      <c r="G17" s="115">
        <f t="shared" si="0"/>
        <v>0.080014</v>
      </c>
    </row>
    <row r="18" spans="3:7" ht="15">
      <c r="C18" s="16"/>
      <c r="D18" s="27"/>
      <c r="E18" s="27"/>
      <c r="F18" s="141"/>
      <c r="G18" s="115">
        <f aca="true" t="shared" si="1" ref="G18:G19">F18*D18</f>
        <v>0</v>
      </c>
    </row>
    <row r="19" spans="3:7" ht="15">
      <c r="C19" s="16"/>
      <c r="D19" s="27"/>
      <c r="E19" s="27"/>
      <c r="F19" s="141"/>
      <c r="G19" s="115">
        <f t="shared" si="1"/>
        <v>0</v>
      </c>
    </row>
    <row r="20" spans="3:7" ht="15">
      <c r="C20" s="137"/>
      <c r="D20" s="2"/>
      <c r="E20" s="2"/>
      <c r="F20" s="153" t="s">
        <v>131</v>
      </c>
      <c r="G20" s="158">
        <f>SUM(G7:G19)</f>
        <v>0.389061915</v>
      </c>
    </row>
    <row r="21" spans="3:7" ht="18.75">
      <c r="C21" s="546"/>
      <c r="D21" s="546"/>
      <c r="E21" s="546"/>
      <c r="F21" s="546"/>
      <c r="G21" s="546"/>
    </row>
    <row r="22" spans="3:7" ht="18.75">
      <c r="C22" s="128"/>
      <c r="D22" s="128"/>
      <c r="E22" s="128"/>
      <c r="F22" s="154"/>
      <c r="G22" s="128"/>
    </row>
    <row r="23" spans="3:7" ht="19.5" thickBot="1">
      <c r="C23" s="546" t="str">
        <f>PLATOS!D8</f>
        <v>Filete migñon</v>
      </c>
      <c r="D23" s="546"/>
      <c r="E23" s="546"/>
      <c r="F23" s="546"/>
      <c r="G23" s="546"/>
    </row>
    <row r="24" spans="4:7" ht="15.75" thickBot="1">
      <c r="D24" s="31" t="s">
        <v>96</v>
      </c>
      <c r="E24" s="31"/>
      <c r="F24" s="146" t="s">
        <v>95</v>
      </c>
      <c r="G24" s="113" t="s">
        <v>97</v>
      </c>
    </row>
    <row r="25" spans="3:7" ht="15.75" thickBot="1">
      <c r="C25" s="547" t="s">
        <v>91</v>
      </c>
      <c r="D25" s="548"/>
      <c r="E25" s="548"/>
      <c r="F25" s="549"/>
      <c r="G25" s="156">
        <f>SUM(G26:G35)+G20</f>
        <v>2.891498835</v>
      </c>
    </row>
    <row r="26" spans="3:7" ht="15">
      <c r="C26" s="41" t="s">
        <v>366</v>
      </c>
      <c r="D26" s="25">
        <v>204.55</v>
      </c>
      <c r="E26" s="25" t="s">
        <v>284</v>
      </c>
      <c r="F26" s="143">
        <f>'LISTA DE PRODUCTOS'!$G$38</f>
        <v>0.0044</v>
      </c>
      <c r="G26" s="115">
        <f>D26*F26</f>
        <v>0.9000200000000002</v>
      </c>
    </row>
    <row r="27" spans="3:7" ht="15">
      <c r="C27" s="25" t="s">
        <v>295</v>
      </c>
      <c r="D27" s="25">
        <v>0.1</v>
      </c>
      <c r="E27" s="25" t="s">
        <v>284</v>
      </c>
      <c r="F27" s="143">
        <f>'LISTA DE PRODUCTOS'!$G$7</f>
        <v>0.007040000000000001</v>
      </c>
      <c r="G27" s="115">
        <f aca="true" t="shared" si="2" ref="G27:G35">D27*F27</f>
        <v>0.0007040000000000002</v>
      </c>
    </row>
    <row r="28" spans="3:7" ht="15">
      <c r="C28" s="25" t="s">
        <v>292</v>
      </c>
      <c r="D28" s="25">
        <v>0.1</v>
      </c>
      <c r="E28" s="25" t="s">
        <v>284</v>
      </c>
      <c r="F28" s="143">
        <f>'LISTA DE PRODUCTOS'!$G$8</f>
        <v>0.0055000000000000005</v>
      </c>
      <c r="G28" s="115">
        <f t="shared" si="2"/>
        <v>0.00055</v>
      </c>
    </row>
    <row r="29" spans="3:7" ht="15">
      <c r="C29" s="25" t="s">
        <v>343</v>
      </c>
      <c r="D29" s="25">
        <v>22</v>
      </c>
      <c r="E29" s="25" t="s">
        <v>284</v>
      </c>
      <c r="F29" s="143">
        <f>'LISTA DE PRODUCTOS'!$G$19</f>
        <v>0.006208400000000001</v>
      </c>
      <c r="G29" s="115">
        <f t="shared" si="2"/>
        <v>0.13658480000000003</v>
      </c>
    </row>
    <row r="30" spans="3:7" ht="15">
      <c r="C30" s="25" t="s">
        <v>293</v>
      </c>
      <c r="D30" s="25">
        <v>0.1</v>
      </c>
      <c r="E30" s="25" t="s">
        <v>284</v>
      </c>
      <c r="F30" s="143">
        <f>'LISTA DE PRODUCTOS'!$G$26</f>
        <v>0.0035200000000000006</v>
      </c>
      <c r="G30" s="115">
        <f t="shared" si="2"/>
        <v>0.0003520000000000001</v>
      </c>
    </row>
    <row r="31" spans="3:7" ht="15">
      <c r="C31" s="25" t="s">
        <v>368</v>
      </c>
      <c r="D31" s="25">
        <v>2</v>
      </c>
      <c r="E31" s="25" t="s">
        <v>438</v>
      </c>
      <c r="F31" s="143">
        <f>'LISTA DE PRODUCTOS'!$G$49</f>
        <v>0.25</v>
      </c>
      <c r="G31" s="115">
        <f t="shared" si="2"/>
        <v>0.5</v>
      </c>
    </row>
    <row r="32" spans="3:7" ht="15">
      <c r="C32" s="25" t="s">
        <v>294</v>
      </c>
      <c r="D32" s="25">
        <v>0.1</v>
      </c>
      <c r="E32" s="25" t="s">
        <v>284</v>
      </c>
      <c r="F32" s="141">
        <f>'LISTA DE PRODUCTOS'!$G$53</f>
        <v>0.0074800000000000005</v>
      </c>
      <c r="G32" s="115">
        <f t="shared" si="2"/>
        <v>0.0007480000000000001</v>
      </c>
    </row>
    <row r="33" spans="3:7" ht="15">
      <c r="C33" s="25" t="s">
        <v>262</v>
      </c>
      <c r="D33" s="25">
        <v>2.27</v>
      </c>
      <c r="E33" s="25" t="s">
        <v>284</v>
      </c>
      <c r="F33" s="141">
        <f>'LISTA DE PRODUCTOS'!$G$59</f>
        <v>0.0015400000000000001</v>
      </c>
      <c r="G33" s="115">
        <f t="shared" si="2"/>
        <v>0.0034958000000000003</v>
      </c>
    </row>
    <row r="34" spans="3:7" ht="15">
      <c r="C34" s="25" t="s">
        <v>430</v>
      </c>
      <c r="D34" s="25">
        <v>2.8</v>
      </c>
      <c r="E34" s="25" t="s">
        <v>284</v>
      </c>
      <c r="F34" s="143">
        <f>'LISTA DE PRODUCTOS'!$G$63</f>
        <v>2.7971428571428573E-05</v>
      </c>
      <c r="G34" s="115">
        <f t="shared" si="2"/>
        <v>7.832E-05</v>
      </c>
    </row>
    <row r="35" spans="3:7" ht="15">
      <c r="C35" s="25" t="s">
        <v>367</v>
      </c>
      <c r="D35" s="25">
        <v>36.36</v>
      </c>
      <c r="E35" s="25" t="s">
        <v>284</v>
      </c>
      <c r="F35" s="143">
        <f>'LISTA DE PRODUCTOS'!$G$66</f>
        <v>0.026400000000000003</v>
      </c>
      <c r="G35" s="115">
        <f t="shared" si="2"/>
        <v>0.9599040000000001</v>
      </c>
    </row>
    <row r="36" spans="3:7" ht="15.75" thickBot="1">
      <c r="C36" s="2"/>
      <c r="D36" s="2"/>
      <c r="E36" s="2"/>
      <c r="F36" s="144"/>
      <c r="G36" s="136"/>
    </row>
    <row r="37" spans="3:7" ht="15.75" thickBot="1">
      <c r="C37" s="135" t="s">
        <v>92</v>
      </c>
      <c r="D37" s="38" t="s">
        <v>185</v>
      </c>
      <c r="E37" s="39"/>
      <c r="F37" s="145" t="s">
        <v>184</v>
      </c>
      <c r="G37" s="76">
        <f>SUM(G38:G43)</f>
        <v>0.32166666666666666</v>
      </c>
    </row>
    <row r="38" spans="3:7" ht="15">
      <c r="C38" s="41" t="s">
        <v>186</v>
      </c>
      <c r="D38" s="40"/>
      <c r="E38" s="40"/>
      <c r="F38" s="143"/>
      <c r="G38" s="115"/>
    </row>
    <row r="39" spans="3:7" ht="15">
      <c r="C39" s="25" t="s">
        <v>140</v>
      </c>
      <c r="D39" s="67">
        <f>'TIEMPO P.P.'!$F$7/'TIEMPO P.P.'!$H$3</f>
        <v>0.096</v>
      </c>
      <c r="E39" s="67"/>
      <c r="F39" s="143">
        <f>IF(DATOS!$I$9&gt;0,(DATOS!$C$4*'TIEMPO P.P.'!$I$3)/240,0)</f>
        <v>0</v>
      </c>
      <c r="G39" s="115">
        <f>D39*F39</f>
        <v>0</v>
      </c>
    </row>
    <row r="40" spans="3:7" ht="15">
      <c r="C40" s="25" t="s">
        <v>78</v>
      </c>
      <c r="D40" s="67">
        <f>'TIEMPO P.P.'!$F$18/'TIEMPO P.P.'!$H$3</f>
        <v>0.07555555555555556</v>
      </c>
      <c r="E40" s="67"/>
      <c r="F40" s="143">
        <f>IF(DATOS!$J$9&gt;0,DATOS!$C$5*'TIEMPO P.P.'!$I$14/240,0)</f>
        <v>0</v>
      </c>
      <c r="G40" s="115">
        <f>F40*D40</f>
        <v>0</v>
      </c>
    </row>
    <row r="41" spans="3:7" ht="15">
      <c r="C41" s="41" t="s">
        <v>187</v>
      </c>
      <c r="D41" s="42"/>
      <c r="E41" s="42"/>
      <c r="F41" s="143"/>
      <c r="G41" s="115"/>
    </row>
    <row r="42" spans="3:7" ht="15">
      <c r="C42" s="27" t="s">
        <v>140</v>
      </c>
      <c r="D42" s="68">
        <f>D39</f>
        <v>0.096</v>
      </c>
      <c r="E42" s="68"/>
      <c r="F42" s="141">
        <f>IF(DATOS!$I$14&gt;0,DATOS!$C$7*'TIEMPO P.P.'!$I$3/8,0)</f>
        <v>1.875</v>
      </c>
      <c r="G42" s="115">
        <f>D42*F42</f>
        <v>0.18</v>
      </c>
    </row>
    <row r="43" spans="3:7" ht="15.75" thickBot="1">
      <c r="C43" s="22" t="s">
        <v>78</v>
      </c>
      <c r="D43" s="71">
        <f>D40</f>
        <v>0.07555555555555556</v>
      </c>
      <c r="E43" s="71"/>
      <c r="F43" s="141">
        <f>IF(DATOS!$J$14&gt;0,DATOS!$C$8*'TIEMPO P.P.'!$I$14/8,0)</f>
        <v>1.875</v>
      </c>
      <c r="G43" s="115">
        <f>D43*F43</f>
        <v>0.14166666666666666</v>
      </c>
    </row>
    <row r="44" spans="3:7" ht="15.75" thickBot="1">
      <c r="C44" s="135" t="s">
        <v>93</v>
      </c>
      <c r="D44" s="38" t="s">
        <v>193</v>
      </c>
      <c r="E44" s="39"/>
      <c r="F44" s="145" t="s">
        <v>198</v>
      </c>
      <c r="G44" s="76">
        <f>SUM(G45:G47)</f>
        <v>0.37888296544312167</v>
      </c>
    </row>
    <row r="45" spans="3:7" ht="15">
      <c r="C45" s="25" t="s">
        <v>191</v>
      </c>
      <c r="D45" s="70">
        <f>('TIEMPO P.P.'!$E$7+'TIEMPO P.P.'!$E$18)/2</f>
        <v>0.32166666666666666</v>
      </c>
      <c r="E45" s="70"/>
      <c r="F45" s="143">
        <f>IF(DATOS!$F$51=0,DATOS!$F$20,DATOS!$F$51)</f>
        <v>1.1778745039682539</v>
      </c>
      <c r="G45" s="115">
        <f>D45*$F$45</f>
        <v>0.37888296544312167</v>
      </c>
    </row>
    <row r="46" spans="3:7" ht="15">
      <c r="C46" s="27" t="s">
        <v>192</v>
      </c>
      <c r="D46" s="69">
        <f>D45</f>
        <v>0.32166666666666666</v>
      </c>
      <c r="E46" s="69"/>
      <c r="F46" s="141">
        <f>DATOS!$F$65/ORDEN!$D$34</f>
        <v>0</v>
      </c>
      <c r="G46" s="115">
        <f>D46*$F$46</f>
        <v>0</v>
      </c>
    </row>
    <row r="47" spans="3:7" ht="15.75" thickBot="1">
      <c r="C47" s="27"/>
      <c r="D47" s="27"/>
      <c r="E47" s="27"/>
      <c r="F47" s="141"/>
      <c r="G47" s="115">
        <f>D47*F47</f>
        <v>0</v>
      </c>
    </row>
    <row r="48" spans="3:7" ht="17.25" thickBot="1" thickTop="1">
      <c r="C48" s="28"/>
      <c r="D48" s="543" t="s">
        <v>94</v>
      </c>
      <c r="E48" s="544"/>
      <c r="F48" s="545"/>
      <c r="G48" s="157">
        <f>G25+G37+G44</f>
        <v>3.5920484671097888</v>
      </c>
    </row>
    <row r="49" ht="15.75" thickTop="1"/>
    <row r="51" spans="3:7" ht="19.5" thickBot="1">
      <c r="C51" s="546" t="str">
        <f>PLATOS!D9</f>
        <v>Gordon blue</v>
      </c>
      <c r="D51" s="546"/>
      <c r="E51" s="546"/>
      <c r="F51" s="546"/>
      <c r="G51" s="546"/>
    </row>
    <row r="52" spans="4:7" ht="15.75" thickBot="1">
      <c r="D52" s="31" t="s">
        <v>96</v>
      </c>
      <c r="E52" s="31"/>
      <c r="F52" s="146" t="s">
        <v>95</v>
      </c>
      <c r="G52" s="113" t="s">
        <v>97</v>
      </c>
    </row>
    <row r="53" spans="3:7" ht="15.75" thickBot="1">
      <c r="C53" s="547" t="s">
        <v>91</v>
      </c>
      <c r="D53" s="548"/>
      <c r="E53" s="548"/>
      <c r="F53" s="549"/>
      <c r="G53" s="156">
        <f>SUM(G54:G66)+G20</f>
        <v>1.959636361666667</v>
      </c>
    </row>
    <row r="54" spans="3:7" ht="15">
      <c r="C54" s="41" t="s">
        <v>366</v>
      </c>
      <c r="D54" s="25">
        <v>181.82</v>
      </c>
      <c r="E54" s="25" t="s">
        <v>284</v>
      </c>
      <c r="F54" s="143">
        <f>'LISTA DE PRODUCTOS'!$G$38</f>
        <v>0.0044</v>
      </c>
      <c r="G54" s="115">
        <f>D54*F54</f>
        <v>0.800008</v>
      </c>
    </row>
    <row r="55" spans="3:7" ht="15">
      <c r="C55" s="25" t="s">
        <v>295</v>
      </c>
      <c r="D55" s="25">
        <v>0.1</v>
      </c>
      <c r="E55" s="25" t="s">
        <v>284</v>
      </c>
      <c r="F55" s="143">
        <f>'LISTA DE PRODUCTOS'!$G$7</f>
        <v>0.007040000000000001</v>
      </c>
      <c r="G55" s="115">
        <f aca="true" t="shared" si="3" ref="G55:G66">D55*F55</f>
        <v>0.0007040000000000002</v>
      </c>
    </row>
    <row r="56" spans="3:7" ht="15">
      <c r="C56" s="25" t="s">
        <v>292</v>
      </c>
      <c r="D56" s="25">
        <v>0.1</v>
      </c>
      <c r="E56" s="25" t="s">
        <v>284</v>
      </c>
      <c r="F56" s="143">
        <f>'LISTA DE PRODUCTOS'!$G$8</f>
        <v>0.0055000000000000005</v>
      </c>
      <c r="G56" s="115">
        <f t="shared" si="3"/>
        <v>0.00055</v>
      </c>
    </row>
    <row r="57" spans="3:7" ht="15">
      <c r="C57" s="25" t="s">
        <v>352</v>
      </c>
      <c r="D57" s="25">
        <v>36.36</v>
      </c>
      <c r="E57" s="25" t="s">
        <v>284</v>
      </c>
      <c r="F57" s="143">
        <f>'LISTA DE PRODUCTOS'!$G$10</f>
        <v>0.0022</v>
      </c>
      <c r="G57" s="115">
        <f t="shared" si="3"/>
        <v>0.07999200000000001</v>
      </c>
    </row>
    <row r="58" spans="3:7" ht="15">
      <c r="C58" s="25" t="s">
        <v>329</v>
      </c>
      <c r="D58" s="25">
        <v>18.18</v>
      </c>
      <c r="E58" s="25" t="s">
        <v>284</v>
      </c>
      <c r="F58" s="141">
        <f>'LISTA DE PRODUCTOS'!$G$12</f>
        <v>0.0006160000000000001</v>
      </c>
      <c r="G58" s="115">
        <f t="shared" si="3"/>
        <v>0.011198880000000001</v>
      </c>
    </row>
    <row r="59" spans="3:7" ht="15">
      <c r="C59" s="25" t="s">
        <v>293</v>
      </c>
      <c r="D59" s="25">
        <v>0.1</v>
      </c>
      <c r="E59" s="25" t="s">
        <v>284</v>
      </c>
      <c r="F59" s="143">
        <f>'LISTA DE PRODUCTOS'!$G$26</f>
        <v>0.0035200000000000006</v>
      </c>
      <c r="G59" s="115">
        <f t="shared" si="3"/>
        <v>0.0003520000000000001</v>
      </c>
    </row>
    <row r="60" spans="3:7" ht="15">
      <c r="C60" s="25" t="s">
        <v>330</v>
      </c>
      <c r="D60" s="25">
        <v>1</v>
      </c>
      <c r="E60" s="25" t="s">
        <v>284</v>
      </c>
      <c r="F60" s="141">
        <f>'LISTA DE PRODUCTOS'!$G$31</f>
        <v>0.10666666666666667</v>
      </c>
      <c r="G60" s="115">
        <f t="shared" si="3"/>
        <v>0.10666666666666667</v>
      </c>
    </row>
    <row r="61" spans="3:7" ht="15">
      <c r="C61" s="25" t="s">
        <v>424</v>
      </c>
      <c r="D61" s="25">
        <v>18.18</v>
      </c>
      <c r="E61" s="25" t="s">
        <v>284</v>
      </c>
      <c r="F61" s="143">
        <f>'LISTA DE PRODUCTOS'!$G$32</f>
        <v>0.00946</v>
      </c>
      <c r="G61" s="115">
        <f t="shared" si="3"/>
        <v>0.1719828</v>
      </c>
    </row>
    <row r="62" spans="3:7" ht="15">
      <c r="C62" s="25" t="s">
        <v>282</v>
      </c>
      <c r="D62" s="25">
        <v>6.82</v>
      </c>
      <c r="E62" s="25" t="s">
        <v>284</v>
      </c>
      <c r="F62" s="141">
        <f>'LISTA DE PRODUCTOS'!$G$33</f>
        <v>0.0007150000000000001</v>
      </c>
      <c r="G62" s="115">
        <f t="shared" si="3"/>
        <v>0.004876300000000001</v>
      </c>
    </row>
    <row r="63" spans="3:7" ht="15">
      <c r="C63" s="25" t="s">
        <v>368</v>
      </c>
      <c r="D63" s="25">
        <v>1</v>
      </c>
      <c r="E63" s="25" t="s">
        <v>283</v>
      </c>
      <c r="F63" s="143">
        <f>'LISTA DE PRODUCTOS'!$G$49</f>
        <v>0.25</v>
      </c>
      <c r="G63" s="115">
        <f t="shared" si="3"/>
        <v>0.25</v>
      </c>
    </row>
    <row r="64" spans="3:7" ht="15">
      <c r="C64" s="25" t="s">
        <v>294</v>
      </c>
      <c r="D64" s="25">
        <v>0.1</v>
      </c>
      <c r="E64" s="25" t="s">
        <v>284</v>
      </c>
      <c r="F64" s="141">
        <f>'LISTA DE PRODUCTOS'!$G$53</f>
        <v>0.0074800000000000005</v>
      </c>
      <c r="G64" s="115">
        <f t="shared" si="3"/>
        <v>0.0007480000000000001</v>
      </c>
    </row>
    <row r="65" spans="3:7" ht="15">
      <c r="C65" s="25" t="s">
        <v>372</v>
      </c>
      <c r="D65" s="159">
        <v>0.05</v>
      </c>
      <c r="E65" s="25" t="s">
        <v>284</v>
      </c>
      <c r="F65" s="143">
        <f>'LISTA DE PRODUCTOS'!$G$56</f>
        <v>2.8</v>
      </c>
      <c r="G65" s="115">
        <f t="shared" si="3"/>
        <v>0.13999999999999999</v>
      </c>
    </row>
    <row r="66" spans="3:7" ht="15">
      <c r="C66" s="25" t="s">
        <v>262</v>
      </c>
      <c r="D66" s="25">
        <v>2.27</v>
      </c>
      <c r="E66" s="25" t="s">
        <v>284</v>
      </c>
      <c r="F66" s="141">
        <f>'LISTA DE PRODUCTOS'!$G$59</f>
        <v>0.0015400000000000001</v>
      </c>
      <c r="G66" s="115">
        <f t="shared" si="3"/>
        <v>0.0034958000000000003</v>
      </c>
    </row>
    <row r="67" spans="3:7" ht="15.75" thickBot="1">
      <c r="C67" s="2"/>
      <c r="D67" s="2"/>
      <c r="E67" s="2"/>
      <c r="F67" s="144"/>
      <c r="G67" s="136"/>
    </row>
    <row r="68" spans="3:7" ht="15.75" thickBot="1">
      <c r="C68" s="135" t="s">
        <v>92</v>
      </c>
      <c r="D68" s="38" t="s">
        <v>185</v>
      </c>
      <c r="E68" s="39"/>
      <c r="F68" s="145" t="s">
        <v>184</v>
      </c>
      <c r="G68" s="76">
        <f>SUM(G69:G74)</f>
        <v>0.32166666666666666</v>
      </c>
    </row>
    <row r="69" spans="3:7" ht="15">
      <c r="C69" s="41" t="s">
        <v>186</v>
      </c>
      <c r="D69" s="40"/>
      <c r="E69" s="40"/>
      <c r="F69" s="143"/>
      <c r="G69" s="115"/>
    </row>
    <row r="70" spans="3:7" ht="15">
      <c r="C70" s="25" t="s">
        <v>140</v>
      </c>
      <c r="D70" s="67">
        <f>'TIEMPO P.P.'!$F$7/'TIEMPO P.P.'!$H$3</f>
        <v>0.096</v>
      </c>
      <c r="E70" s="67"/>
      <c r="F70" s="143">
        <f>IF(DATOS!$I$9&gt;0,(DATOS!$C$4*'TIEMPO P.P.'!$I$3)/240,0)</f>
        <v>0</v>
      </c>
      <c r="G70" s="115">
        <f>D70*F70</f>
        <v>0</v>
      </c>
    </row>
    <row r="71" spans="3:7" ht="15">
      <c r="C71" s="25" t="s">
        <v>78</v>
      </c>
      <c r="D71" s="67">
        <f>'TIEMPO P.P.'!$F$18/'TIEMPO P.P.'!$H$3</f>
        <v>0.07555555555555556</v>
      </c>
      <c r="E71" s="67"/>
      <c r="F71" s="143">
        <f>IF(DATOS!$J$9&gt;0,DATOS!$C$5*'TIEMPO P.P.'!$I$14/240,0)</f>
        <v>0</v>
      </c>
      <c r="G71" s="115">
        <f>F71*D71</f>
        <v>0</v>
      </c>
    </row>
    <row r="72" spans="3:7" ht="15">
      <c r="C72" s="41" t="s">
        <v>187</v>
      </c>
      <c r="D72" s="42"/>
      <c r="E72" s="42"/>
      <c r="F72" s="143"/>
      <c r="G72" s="115"/>
    </row>
    <row r="73" spans="3:7" ht="15">
      <c r="C73" s="27" t="s">
        <v>140</v>
      </c>
      <c r="D73" s="68">
        <f>D70</f>
        <v>0.096</v>
      </c>
      <c r="E73" s="68"/>
      <c r="F73" s="141">
        <f>IF(DATOS!$I$14&gt;0,DATOS!$C$7*'TIEMPO P.P.'!$I$3/8,0)</f>
        <v>1.875</v>
      </c>
      <c r="G73" s="115">
        <f>D73*F73</f>
        <v>0.18</v>
      </c>
    </row>
    <row r="74" spans="3:7" ht="15.75" thickBot="1">
      <c r="C74" s="22" t="s">
        <v>78</v>
      </c>
      <c r="D74" s="71">
        <f>D71</f>
        <v>0.07555555555555556</v>
      </c>
      <c r="E74" s="71"/>
      <c r="F74" s="141">
        <f>IF(DATOS!$J$14&gt;0,DATOS!$C$8*'TIEMPO P.P.'!$I$14/8,0)</f>
        <v>1.875</v>
      </c>
      <c r="G74" s="115">
        <f>D74*F74</f>
        <v>0.14166666666666666</v>
      </c>
    </row>
    <row r="75" spans="3:7" ht="15.75" thickBot="1">
      <c r="C75" s="135" t="s">
        <v>93</v>
      </c>
      <c r="D75" s="38" t="s">
        <v>193</v>
      </c>
      <c r="E75" s="39"/>
      <c r="F75" s="145" t="s">
        <v>198</v>
      </c>
      <c r="G75" s="76">
        <f>SUM(G76:G78)</f>
        <v>0.37888296544312167</v>
      </c>
    </row>
    <row r="76" spans="3:7" ht="15">
      <c r="C76" s="25" t="s">
        <v>191</v>
      </c>
      <c r="D76" s="70">
        <f>('TIEMPO P.P.'!$E$7+'TIEMPO P.P.'!$E$18)/2</f>
        <v>0.32166666666666666</v>
      </c>
      <c r="E76" s="70"/>
      <c r="F76" s="143">
        <f>IF(DATOS!$F$51=0,DATOS!$F$20,DATOS!$F$51)</f>
        <v>1.1778745039682539</v>
      </c>
      <c r="G76" s="115">
        <f>D76*$F$45</f>
        <v>0.37888296544312167</v>
      </c>
    </row>
    <row r="77" spans="3:7" ht="15">
      <c r="C77" s="27" t="s">
        <v>192</v>
      </c>
      <c r="D77" s="69">
        <f>D76</f>
        <v>0.32166666666666666</v>
      </c>
      <c r="E77" s="69"/>
      <c r="F77" s="141">
        <f>DATOS!$F$65/ORDEN!$D$34</f>
        <v>0</v>
      </c>
      <c r="G77" s="115">
        <f>D77*$F$46</f>
        <v>0</v>
      </c>
    </row>
    <row r="78" spans="3:7" ht="15.75" thickBot="1">
      <c r="C78" s="27"/>
      <c r="D78" s="27"/>
      <c r="E78" s="27"/>
      <c r="F78" s="141"/>
      <c r="G78" s="115">
        <f>D78*F78</f>
        <v>0</v>
      </c>
    </row>
    <row r="79" spans="3:7" ht="17.25" thickBot="1" thickTop="1">
      <c r="C79" s="28"/>
      <c r="D79" s="543" t="s">
        <v>94</v>
      </c>
      <c r="E79" s="544"/>
      <c r="F79" s="545"/>
      <c r="G79" s="157">
        <f>G53+G68+G75</f>
        <v>2.6601859937764556</v>
      </c>
    </row>
    <row r="80" ht="15.75" thickTop="1"/>
    <row r="83" spans="3:7" ht="19.5" thickBot="1">
      <c r="C83" s="546" t="str">
        <f>PLATOS!D10</f>
        <v>Lomo a la plancha y pollo en 
salsa de champiñones</v>
      </c>
      <c r="D83" s="546"/>
      <c r="E83" s="546"/>
      <c r="F83" s="546"/>
      <c r="G83" s="546"/>
    </row>
    <row r="84" spans="4:7" ht="15.75" thickBot="1">
      <c r="D84" s="31" t="s">
        <v>96</v>
      </c>
      <c r="E84" s="31"/>
      <c r="F84" s="146" t="s">
        <v>95</v>
      </c>
      <c r="G84" s="113" t="s">
        <v>97</v>
      </c>
    </row>
    <row r="85" spans="3:7" ht="15.75" thickBot="1">
      <c r="C85" s="547" t="s">
        <v>91</v>
      </c>
      <c r="D85" s="548"/>
      <c r="E85" s="548"/>
      <c r="F85" s="549"/>
      <c r="G85" s="156">
        <f>SUM(G86:G103)+G20</f>
        <v>1.8619704950000004</v>
      </c>
    </row>
    <row r="86" spans="3:7" ht="15">
      <c r="C86" s="41" t="s">
        <v>369</v>
      </c>
      <c r="D86" s="25">
        <v>160</v>
      </c>
      <c r="E86" s="25" t="s">
        <v>284</v>
      </c>
      <c r="F86" s="143">
        <f>'LISTA DE PRODUCTOS'!$G$38</f>
        <v>0.0044</v>
      </c>
      <c r="G86" s="115">
        <f>D86*F86</f>
        <v>0.7040000000000001</v>
      </c>
    </row>
    <row r="87" spans="3:7" ht="15">
      <c r="C87" s="25" t="s">
        <v>263</v>
      </c>
      <c r="D87" s="25">
        <v>4.55</v>
      </c>
      <c r="E87" s="25" t="s">
        <v>284</v>
      </c>
      <c r="F87" s="143">
        <f>'LISTA DE PRODUCTOS'!$G$3</f>
        <v>0.00033</v>
      </c>
      <c r="G87" s="115">
        <f aca="true" t="shared" si="4" ref="G87:G100">D87*F87</f>
        <v>0.0015015</v>
      </c>
    </row>
    <row r="88" spans="3:7" ht="15">
      <c r="C88" s="25" t="s">
        <v>295</v>
      </c>
      <c r="D88" s="25">
        <v>0.1</v>
      </c>
      <c r="E88" s="25" t="s">
        <v>284</v>
      </c>
      <c r="F88" s="143">
        <f>'LISTA DE PRODUCTOS'!$G$7</f>
        <v>0.007040000000000001</v>
      </c>
      <c r="G88" s="115">
        <f t="shared" si="4"/>
        <v>0.0007040000000000002</v>
      </c>
    </row>
    <row r="89" spans="3:7" ht="15">
      <c r="C89" s="25" t="s">
        <v>292</v>
      </c>
      <c r="D89" s="25">
        <v>0.1</v>
      </c>
      <c r="E89" s="25" t="s">
        <v>284</v>
      </c>
      <c r="F89" s="143">
        <f>'LISTA DE PRODUCTOS'!$G$8</f>
        <v>0.0055000000000000005</v>
      </c>
      <c r="G89" s="115">
        <f t="shared" si="4"/>
        <v>0.00055</v>
      </c>
    </row>
    <row r="90" spans="3:7" ht="15">
      <c r="C90" s="25" t="s">
        <v>293</v>
      </c>
      <c r="D90" s="25">
        <v>0.1</v>
      </c>
      <c r="E90" s="25" t="s">
        <v>284</v>
      </c>
      <c r="F90" s="143">
        <f>'LISTA DE PRODUCTOS'!$G$26</f>
        <v>0.0035200000000000006</v>
      </c>
      <c r="G90" s="115">
        <f t="shared" si="4"/>
        <v>0.0003520000000000001</v>
      </c>
    </row>
    <row r="91" spans="3:7" ht="15">
      <c r="C91" s="25" t="s">
        <v>294</v>
      </c>
      <c r="D91" s="25">
        <v>0.1</v>
      </c>
      <c r="E91" s="25" t="s">
        <v>284</v>
      </c>
      <c r="F91" s="141">
        <f>'LISTA DE PRODUCTOS'!$G$53</f>
        <v>0.0074800000000000005</v>
      </c>
      <c r="G91" s="115">
        <f t="shared" si="4"/>
        <v>0.0007480000000000001</v>
      </c>
    </row>
    <row r="92" spans="3:7" ht="15">
      <c r="C92" s="27" t="s">
        <v>291</v>
      </c>
      <c r="D92" s="25">
        <v>0.1</v>
      </c>
      <c r="E92" s="27" t="s">
        <v>284</v>
      </c>
      <c r="F92" s="141">
        <f>'LISTA DE PRODUCTOS'!$G$58</f>
        <v>0.007040000000000001</v>
      </c>
      <c r="G92" s="115">
        <f t="shared" si="4"/>
        <v>0.0007040000000000002</v>
      </c>
    </row>
    <row r="93" spans="3:7" ht="15">
      <c r="C93" s="27" t="s">
        <v>262</v>
      </c>
      <c r="D93" s="27">
        <v>2.27</v>
      </c>
      <c r="E93" s="27" t="s">
        <v>284</v>
      </c>
      <c r="F93" s="141">
        <f>'LISTA DE PRODUCTOS'!$G$59</f>
        <v>0.0015400000000000001</v>
      </c>
      <c r="G93" s="115">
        <f t="shared" si="4"/>
        <v>0.0034958000000000003</v>
      </c>
    </row>
    <row r="94" spans="3:7" ht="15">
      <c r="C94" s="27"/>
      <c r="D94" s="27"/>
      <c r="E94" s="27"/>
      <c r="F94" s="141"/>
      <c r="G94" s="115">
        <f t="shared" si="4"/>
        <v>0</v>
      </c>
    </row>
    <row r="95" spans="3:7" ht="15">
      <c r="C95" s="54" t="s">
        <v>336</v>
      </c>
      <c r="D95" s="27">
        <v>286.37</v>
      </c>
      <c r="E95" s="27" t="s">
        <v>284</v>
      </c>
      <c r="F95" s="143">
        <f>'LISTA DE PRODUCTOS'!$G$55</f>
        <v>0.0022</v>
      </c>
      <c r="G95" s="115">
        <f t="shared" si="4"/>
        <v>0.6300140000000001</v>
      </c>
    </row>
    <row r="96" spans="3:7" ht="15">
      <c r="C96" s="27" t="s">
        <v>295</v>
      </c>
      <c r="D96" s="27">
        <v>0.1</v>
      </c>
      <c r="E96" s="27" t="s">
        <v>284</v>
      </c>
      <c r="F96" s="143">
        <f>'LISTA DE PRODUCTOS'!$G$7</f>
        <v>0.007040000000000001</v>
      </c>
      <c r="G96" s="115">
        <f t="shared" si="4"/>
        <v>0.0007040000000000002</v>
      </c>
    </row>
    <row r="97" spans="3:7" ht="15">
      <c r="C97" s="27" t="s">
        <v>292</v>
      </c>
      <c r="D97" s="27">
        <v>0.1</v>
      </c>
      <c r="E97" s="27" t="s">
        <v>284</v>
      </c>
      <c r="F97" s="143">
        <f>'LISTA DE PRODUCTOS'!$G$8</f>
        <v>0.0055000000000000005</v>
      </c>
      <c r="G97" s="115">
        <f t="shared" si="4"/>
        <v>0.00055</v>
      </c>
    </row>
    <row r="98" spans="3:7" ht="15">
      <c r="C98" s="27" t="s">
        <v>343</v>
      </c>
      <c r="D98" s="27">
        <v>20</v>
      </c>
      <c r="E98" s="27" t="s">
        <v>284</v>
      </c>
      <c r="F98" s="143">
        <f>'LISTA DE PRODUCTOS'!$G$19</f>
        <v>0.006208400000000001</v>
      </c>
      <c r="G98" s="115">
        <f t="shared" si="4"/>
        <v>0.12416800000000003</v>
      </c>
    </row>
    <row r="99" spans="3:7" ht="15">
      <c r="C99" s="27" t="s">
        <v>293</v>
      </c>
      <c r="D99" s="27">
        <v>0.1</v>
      </c>
      <c r="E99" s="27" t="s">
        <v>284</v>
      </c>
      <c r="F99" s="143">
        <f>'LISTA DE PRODUCTOS'!$G$26</f>
        <v>0.0035200000000000006</v>
      </c>
      <c r="G99" s="115">
        <f t="shared" si="4"/>
        <v>0.0003520000000000001</v>
      </c>
    </row>
    <row r="100" spans="3:7" ht="15">
      <c r="C100" s="27" t="s">
        <v>294</v>
      </c>
      <c r="D100" s="27">
        <v>0.1</v>
      </c>
      <c r="E100" s="27" t="s">
        <v>284</v>
      </c>
      <c r="F100" s="141">
        <f>'LISTA DE PRODUCTOS'!$G$53</f>
        <v>0.0074800000000000005</v>
      </c>
      <c r="G100" s="115">
        <f t="shared" si="4"/>
        <v>0.0007480000000000001</v>
      </c>
    </row>
    <row r="101" spans="3:7" ht="15">
      <c r="C101" s="27" t="s">
        <v>291</v>
      </c>
      <c r="D101" s="27">
        <v>0.1</v>
      </c>
      <c r="E101" s="27" t="s">
        <v>284</v>
      </c>
      <c r="F101" s="141">
        <f>'LISTA DE PRODUCTOS'!$G$58</f>
        <v>0.007040000000000001</v>
      </c>
      <c r="G101" s="115">
        <f>D101*F101</f>
        <v>0.0007040000000000002</v>
      </c>
    </row>
    <row r="102" spans="3:7" ht="15">
      <c r="C102" s="27" t="s">
        <v>262</v>
      </c>
      <c r="D102" s="27">
        <v>2.27</v>
      </c>
      <c r="E102" s="27" t="s">
        <v>284</v>
      </c>
      <c r="F102" s="141">
        <f>'LISTA DE PRODUCTOS'!$G$59</f>
        <v>0.0015400000000000001</v>
      </c>
      <c r="G102" s="115">
        <f>D102*F102</f>
        <v>0.0034958000000000003</v>
      </c>
    </row>
    <row r="103" spans="3:7" ht="15">
      <c r="C103" s="27" t="s">
        <v>430</v>
      </c>
      <c r="D103" s="27">
        <v>4.2</v>
      </c>
      <c r="E103" s="27" t="s">
        <v>284</v>
      </c>
      <c r="F103" s="141">
        <f>'LISTA DE PRODUCTOS'!$G$63</f>
        <v>2.7971428571428573E-05</v>
      </c>
      <c r="G103" s="115">
        <f>D103*F103</f>
        <v>0.00011748000000000001</v>
      </c>
    </row>
    <row r="104" spans="3:7" ht="15.75" thickBot="1">
      <c r="C104" s="2"/>
      <c r="D104" s="2"/>
      <c r="E104" s="2"/>
      <c r="F104" s="144"/>
      <c r="G104" s="136"/>
    </row>
    <row r="105" spans="3:7" ht="15.75" thickBot="1">
      <c r="C105" s="135" t="s">
        <v>92</v>
      </c>
      <c r="D105" s="38" t="s">
        <v>185</v>
      </c>
      <c r="E105" s="39"/>
      <c r="F105" s="145" t="s">
        <v>184</v>
      </c>
      <c r="G105" s="76">
        <f>SUM(G106:G111)</f>
        <v>0.32166666666666666</v>
      </c>
    </row>
    <row r="106" spans="3:7" ht="15">
      <c r="C106" s="41" t="s">
        <v>186</v>
      </c>
      <c r="D106" s="40"/>
      <c r="E106" s="40"/>
      <c r="F106" s="143"/>
      <c r="G106" s="115"/>
    </row>
    <row r="107" spans="3:7" ht="15">
      <c r="C107" s="25" t="s">
        <v>140</v>
      </c>
      <c r="D107" s="67">
        <f>'TIEMPO P.P.'!$F$7/'TIEMPO P.P.'!$H$3</f>
        <v>0.096</v>
      </c>
      <c r="E107" s="67"/>
      <c r="F107" s="143">
        <f>IF(DATOS!$I$9&gt;0,(DATOS!$C$4*'TIEMPO P.P.'!$I$3)/240,0)</f>
        <v>0</v>
      </c>
      <c r="G107" s="115">
        <f>D107*F107</f>
        <v>0</v>
      </c>
    </row>
    <row r="108" spans="3:7" ht="15">
      <c r="C108" s="25" t="s">
        <v>78</v>
      </c>
      <c r="D108" s="67">
        <f>'TIEMPO P.P.'!$F$18/'TIEMPO P.P.'!$H$3</f>
        <v>0.07555555555555556</v>
      </c>
      <c r="E108" s="67"/>
      <c r="F108" s="143">
        <f>IF(DATOS!$J$9&gt;0,DATOS!$C$5*'TIEMPO P.P.'!$I$14/240,0)</f>
        <v>0</v>
      </c>
      <c r="G108" s="115">
        <f>F108*D108</f>
        <v>0</v>
      </c>
    </row>
    <row r="109" spans="3:7" ht="15">
      <c r="C109" s="41" t="s">
        <v>187</v>
      </c>
      <c r="D109" s="42"/>
      <c r="E109" s="42"/>
      <c r="F109" s="143"/>
      <c r="G109" s="115"/>
    </row>
    <row r="110" spans="3:7" ht="15">
      <c r="C110" s="27" t="s">
        <v>140</v>
      </c>
      <c r="D110" s="68">
        <f>D107</f>
        <v>0.096</v>
      </c>
      <c r="E110" s="68"/>
      <c r="F110" s="141">
        <f>IF(DATOS!$I$14&gt;0,DATOS!$C$7*'TIEMPO P.P.'!$I$3/8,0)</f>
        <v>1.875</v>
      </c>
      <c r="G110" s="115">
        <f>D110*F110</f>
        <v>0.18</v>
      </c>
    </row>
    <row r="111" spans="3:7" ht="15.75" thickBot="1">
      <c r="C111" s="22" t="s">
        <v>78</v>
      </c>
      <c r="D111" s="71">
        <f>D108</f>
        <v>0.07555555555555556</v>
      </c>
      <c r="E111" s="71"/>
      <c r="F111" s="141">
        <f>IF(DATOS!$J$14&gt;0,DATOS!$C$8*'TIEMPO P.P.'!$I$14/8,0)</f>
        <v>1.875</v>
      </c>
      <c r="G111" s="115">
        <f>D111*F111</f>
        <v>0.14166666666666666</v>
      </c>
    </row>
    <row r="112" spans="3:7" ht="15.75" thickBot="1">
      <c r="C112" s="135" t="s">
        <v>93</v>
      </c>
      <c r="D112" s="38" t="s">
        <v>193</v>
      </c>
      <c r="E112" s="39"/>
      <c r="F112" s="145" t="s">
        <v>198</v>
      </c>
      <c r="G112" s="76">
        <f>SUM(G113:G115)</f>
        <v>0.37888296544312167</v>
      </c>
    </row>
    <row r="113" spans="3:7" ht="15">
      <c r="C113" s="25" t="s">
        <v>191</v>
      </c>
      <c r="D113" s="70">
        <f>('TIEMPO P.P.'!$E$7+'TIEMPO P.P.'!$E$18)/2</f>
        <v>0.32166666666666666</v>
      </c>
      <c r="E113" s="70"/>
      <c r="F113" s="143">
        <f>IF(DATOS!$F$51=0,DATOS!$F$20,DATOS!$F$51)</f>
        <v>1.1778745039682539</v>
      </c>
      <c r="G113" s="115">
        <f>D113*$F$45</f>
        <v>0.37888296544312167</v>
      </c>
    </row>
    <row r="114" spans="3:7" ht="15">
      <c r="C114" s="27" t="s">
        <v>192</v>
      </c>
      <c r="D114" s="69">
        <f>D113</f>
        <v>0.32166666666666666</v>
      </c>
      <c r="E114" s="69"/>
      <c r="F114" s="141">
        <f>DATOS!$F$65/ORDEN!$D$34</f>
        <v>0</v>
      </c>
      <c r="G114" s="115">
        <f>D114*$F$46</f>
        <v>0</v>
      </c>
    </row>
    <row r="115" spans="3:7" ht="15.75" thickBot="1">
      <c r="C115" s="27"/>
      <c r="D115" s="27"/>
      <c r="E115" s="27"/>
      <c r="F115" s="141"/>
      <c r="G115" s="115">
        <f>D115*F115</f>
        <v>0</v>
      </c>
    </row>
    <row r="116" spans="3:7" ht="17.25" thickBot="1" thickTop="1">
      <c r="C116" s="28"/>
      <c r="D116" s="543" t="s">
        <v>94</v>
      </c>
      <c r="E116" s="544"/>
      <c r="F116" s="545"/>
      <c r="G116" s="157">
        <f>G85+G105+G112</f>
        <v>2.562520127109789</v>
      </c>
    </row>
    <row r="117" ht="15.75" thickTop="1"/>
    <row r="119" spans="3:7" ht="19.5" thickBot="1">
      <c r="C119" s="546" t="str">
        <f>PLATOS!D11</f>
        <v>Lomo apanado y pollo en 
salsa de champiñones</v>
      </c>
      <c r="D119" s="546"/>
      <c r="E119" s="546"/>
      <c r="F119" s="546"/>
      <c r="G119" s="546"/>
    </row>
    <row r="120" spans="4:7" ht="15.75" thickBot="1">
      <c r="D120" s="31" t="s">
        <v>96</v>
      </c>
      <c r="E120" s="31"/>
      <c r="F120" s="146" t="s">
        <v>95</v>
      </c>
      <c r="G120" s="113" t="s">
        <v>97</v>
      </c>
    </row>
    <row r="121" spans="3:7" ht="15.75" thickBot="1">
      <c r="C121" s="547" t="s">
        <v>91</v>
      </c>
      <c r="D121" s="548"/>
      <c r="E121" s="548"/>
      <c r="F121" s="549"/>
      <c r="G121" s="156">
        <f>SUM(G122:G142)+G20</f>
        <v>2.061579791666667</v>
      </c>
    </row>
    <row r="122" spans="3:7" ht="15">
      <c r="C122" s="41" t="s">
        <v>369</v>
      </c>
      <c r="D122" s="25">
        <v>160</v>
      </c>
      <c r="E122" s="27" t="s">
        <v>284</v>
      </c>
      <c r="F122" s="143">
        <f>'LISTA DE PRODUCTOS'!$G$38</f>
        <v>0.0044</v>
      </c>
      <c r="G122" s="115">
        <f>D122*F122</f>
        <v>0.7040000000000001</v>
      </c>
    </row>
    <row r="123" spans="3:7" ht="15">
      <c r="C123" s="25" t="s">
        <v>295</v>
      </c>
      <c r="D123" s="25">
        <v>0.1</v>
      </c>
      <c r="E123" s="25" t="s">
        <v>284</v>
      </c>
      <c r="F123" s="143">
        <f>'LISTA DE PRODUCTOS'!$G$7</f>
        <v>0.007040000000000001</v>
      </c>
      <c r="G123" s="115">
        <f aca="true" t="shared" si="5" ref="G123:G137">D123*F123</f>
        <v>0.0007040000000000002</v>
      </c>
    </row>
    <row r="124" spans="3:7" ht="15">
      <c r="C124" s="25" t="s">
        <v>292</v>
      </c>
      <c r="D124" s="25">
        <v>0.1</v>
      </c>
      <c r="E124" s="25" t="s">
        <v>284</v>
      </c>
      <c r="F124" s="143">
        <f>'LISTA DE PRODUCTOS'!$G$8</f>
        <v>0.0055000000000000005</v>
      </c>
      <c r="G124" s="115">
        <f t="shared" si="5"/>
        <v>0.00055</v>
      </c>
    </row>
    <row r="125" spans="3:7" ht="15">
      <c r="C125" s="25" t="s">
        <v>352</v>
      </c>
      <c r="D125" s="25">
        <v>36.36</v>
      </c>
      <c r="E125" s="25" t="s">
        <v>284</v>
      </c>
      <c r="F125" s="143">
        <f>'LISTA DE PRODUCTOS'!$G$10</f>
        <v>0.0022</v>
      </c>
      <c r="G125" s="115">
        <f t="shared" si="5"/>
        <v>0.07999200000000001</v>
      </c>
    </row>
    <row r="126" spans="3:7" ht="15">
      <c r="C126" s="25" t="s">
        <v>374</v>
      </c>
      <c r="D126" s="25">
        <v>18.18</v>
      </c>
      <c r="E126" s="25" t="s">
        <v>284</v>
      </c>
      <c r="F126" s="141">
        <f>'LISTA DE PRODUCTOS'!$G$12</f>
        <v>0.0006160000000000001</v>
      </c>
      <c r="G126" s="115">
        <f t="shared" si="5"/>
        <v>0.011198880000000001</v>
      </c>
    </row>
    <row r="127" spans="3:7" ht="15">
      <c r="C127" s="25" t="s">
        <v>293</v>
      </c>
      <c r="D127" s="25">
        <v>0.1</v>
      </c>
      <c r="E127" s="25" t="s">
        <v>284</v>
      </c>
      <c r="F127" s="143">
        <f>'LISTA DE PRODUCTOS'!$G$26</f>
        <v>0.0035200000000000006</v>
      </c>
      <c r="G127" s="115">
        <f t="shared" si="5"/>
        <v>0.0003520000000000001</v>
      </c>
    </row>
    <row r="128" spans="3:7" ht="15">
      <c r="C128" s="25" t="s">
        <v>330</v>
      </c>
      <c r="D128" s="25">
        <v>1</v>
      </c>
      <c r="E128" s="25" t="s">
        <v>284</v>
      </c>
      <c r="F128" s="141">
        <f>'LISTA DE PRODUCTOS'!$G$31</f>
        <v>0.10666666666666667</v>
      </c>
      <c r="G128" s="115">
        <f t="shared" si="5"/>
        <v>0.10666666666666667</v>
      </c>
    </row>
    <row r="129" spans="3:7" ht="15">
      <c r="C129" s="25" t="s">
        <v>375</v>
      </c>
      <c r="D129" s="25">
        <v>4.55</v>
      </c>
      <c r="E129" s="25" t="s">
        <v>284</v>
      </c>
      <c r="F129" s="141">
        <f>'LISTA DE PRODUCTOS'!$G$33</f>
        <v>0.0007150000000000001</v>
      </c>
      <c r="G129" s="115">
        <f t="shared" si="5"/>
        <v>0.0032532500000000005</v>
      </c>
    </row>
    <row r="130" spans="3:7" ht="15">
      <c r="C130" s="25" t="s">
        <v>294</v>
      </c>
      <c r="D130" s="27">
        <v>0.1</v>
      </c>
      <c r="E130" s="27" t="s">
        <v>284</v>
      </c>
      <c r="F130" s="141">
        <f>'LISTA DE PRODUCTOS'!$G$53</f>
        <v>0.0074800000000000005</v>
      </c>
      <c r="G130" s="115">
        <f t="shared" si="5"/>
        <v>0.0007480000000000001</v>
      </c>
    </row>
    <row r="131" spans="3:7" ht="15">
      <c r="C131" s="25" t="s">
        <v>291</v>
      </c>
      <c r="D131" s="27">
        <v>0.1</v>
      </c>
      <c r="E131" s="27" t="s">
        <v>284</v>
      </c>
      <c r="F131" s="141">
        <f>'LISTA DE PRODUCTOS'!$G$58</f>
        <v>0.007040000000000001</v>
      </c>
      <c r="G131" s="115">
        <f t="shared" si="5"/>
        <v>0.0007040000000000002</v>
      </c>
    </row>
    <row r="132" spans="3:7" ht="15">
      <c r="C132" s="25" t="s">
        <v>262</v>
      </c>
      <c r="D132" s="27">
        <v>2.27</v>
      </c>
      <c r="E132" s="27" t="s">
        <v>284</v>
      </c>
      <c r="F132" s="141">
        <f>'LISTA DE PRODUCTOS'!$G$59</f>
        <v>0.0015400000000000001</v>
      </c>
      <c r="G132" s="115">
        <f t="shared" si="5"/>
        <v>0.0034958000000000003</v>
      </c>
    </row>
    <row r="133" spans="3:7" ht="15">
      <c r="C133" s="25"/>
      <c r="D133" s="25"/>
      <c r="E133" s="25"/>
      <c r="F133" s="143"/>
      <c r="G133" s="115"/>
    </row>
    <row r="134" spans="3:7" ht="15">
      <c r="C134" s="41" t="s">
        <v>336</v>
      </c>
      <c r="D134" s="27">
        <v>286.37</v>
      </c>
      <c r="E134" s="27" t="s">
        <v>284</v>
      </c>
      <c r="F134" s="143">
        <f>'LISTA DE PRODUCTOS'!$G$55</f>
        <v>0.0022</v>
      </c>
      <c r="G134" s="115">
        <f t="shared" si="5"/>
        <v>0.6300140000000001</v>
      </c>
    </row>
    <row r="135" spans="3:7" ht="15">
      <c r="C135" s="25" t="s">
        <v>295</v>
      </c>
      <c r="D135" s="27">
        <v>0.1</v>
      </c>
      <c r="E135" s="27" t="s">
        <v>284</v>
      </c>
      <c r="F135" s="143">
        <f>'LISTA DE PRODUCTOS'!$G$7</f>
        <v>0.007040000000000001</v>
      </c>
      <c r="G135" s="115">
        <f t="shared" si="5"/>
        <v>0.0007040000000000002</v>
      </c>
    </row>
    <row r="136" spans="3:7" ht="15">
      <c r="C136" s="25" t="s">
        <v>292</v>
      </c>
      <c r="D136" s="27">
        <v>0.1</v>
      </c>
      <c r="E136" s="27" t="s">
        <v>284</v>
      </c>
      <c r="F136" s="143">
        <f>'LISTA DE PRODUCTOS'!$G$8</f>
        <v>0.0055000000000000005</v>
      </c>
      <c r="G136" s="115">
        <f t="shared" si="5"/>
        <v>0.00055</v>
      </c>
    </row>
    <row r="137" spans="3:7" ht="15">
      <c r="C137" s="25" t="s">
        <v>343</v>
      </c>
      <c r="D137" s="27">
        <v>20</v>
      </c>
      <c r="E137" s="27" t="s">
        <v>284</v>
      </c>
      <c r="F137" s="143">
        <f>'LISTA DE PRODUCTOS'!$G$19</f>
        <v>0.006208400000000001</v>
      </c>
      <c r="G137" s="115">
        <f t="shared" si="5"/>
        <v>0.12416800000000003</v>
      </c>
    </row>
    <row r="138" spans="3:7" ht="15">
      <c r="C138" s="27" t="s">
        <v>293</v>
      </c>
      <c r="D138" s="27">
        <v>0.1</v>
      </c>
      <c r="E138" s="27" t="s">
        <v>284</v>
      </c>
      <c r="F138" s="143">
        <f>'LISTA DE PRODUCTOS'!$G$26</f>
        <v>0.0035200000000000006</v>
      </c>
      <c r="G138" s="115">
        <f>D138*F138</f>
        <v>0.0003520000000000001</v>
      </c>
    </row>
    <row r="139" spans="3:7" ht="15">
      <c r="C139" s="27" t="s">
        <v>294</v>
      </c>
      <c r="D139" s="27">
        <v>0.1</v>
      </c>
      <c r="E139" s="27" t="s">
        <v>284</v>
      </c>
      <c r="F139" s="141">
        <f>'LISTA DE PRODUCTOS'!$G$53</f>
        <v>0.0074800000000000005</v>
      </c>
      <c r="G139" s="115">
        <f>D139*F139</f>
        <v>0.0007480000000000001</v>
      </c>
    </row>
    <row r="140" spans="3:7" ht="15">
      <c r="C140" s="27" t="s">
        <v>291</v>
      </c>
      <c r="D140" s="27">
        <v>0.1</v>
      </c>
      <c r="E140" s="27" t="s">
        <v>284</v>
      </c>
      <c r="F140" s="141">
        <f>'LISTA DE PRODUCTOS'!$G$58</f>
        <v>0.007040000000000001</v>
      </c>
      <c r="G140" s="115">
        <f>D140*F140</f>
        <v>0.0007040000000000002</v>
      </c>
    </row>
    <row r="141" spans="3:7" ht="15">
      <c r="C141" s="27" t="s">
        <v>262</v>
      </c>
      <c r="D141" s="27">
        <v>2.27</v>
      </c>
      <c r="E141" s="27" t="s">
        <v>284</v>
      </c>
      <c r="F141" s="141">
        <f>'LISTA DE PRODUCTOS'!$G$59</f>
        <v>0.0015400000000000001</v>
      </c>
      <c r="G141" s="115">
        <f>D141*F141</f>
        <v>0.0034958000000000003</v>
      </c>
    </row>
    <row r="142" spans="3:7" ht="15">
      <c r="C142" s="27" t="s">
        <v>430</v>
      </c>
      <c r="D142" s="27">
        <v>4.2</v>
      </c>
      <c r="E142" s="27" t="s">
        <v>284</v>
      </c>
      <c r="F142" s="141">
        <f>'LISTA DE PRODUCTOS'!$G$63</f>
        <v>2.7971428571428573E-05</v>
      </c>
      <c r="G142" s="115">
        <f>D142*F142</f>
        <v>0.00011748000000000001</v>
      </c>
    </row>
    <row r="143" spans="3:7" ht="15.75" thickBot="1">
      <c r="C143" s="2"/>
      <c r="D143" s="2"/>
      <c r="E143" s="2"/>
      <c r="F143" s="144"/>
      <c r="G143" s="136"/>
    </row>
    <row r="144" spans="3:7" ht="15.75" thickBot="1">
      <c r="C144" s="135" t="s">
        <v>92</v>
      </c>
      <c r="D144" s="38" t="s">
        <v>185</v>
      </c>
      <c r="E144" s="39"/>
      <c r="F144" s="145" t="s">
        <v>184</v>
      </c>
      <c r="G144" s="76">
        <f>SUM(G145:G150)</f>
        <v>0.32166666666666666</v>
      </c>
    </row>
    <row r="145" spans="3:7" ht="15">
      <c r="C145" s="41" t="s">
        <v>186</v>
      </c>
      <c r="D145" s="40"/>
      <c r="E145" s="40"/>
      <c r="F145" s="143"/>
      <c r="G145" s="115"/>
    </row>
    <row r="146" spans="3:7" ht="15">
      <c r="C146" s="25" t="s">
        <v>140</v>
      </c>
      <c r="D146" s="67">
        <f>'TIEMPO P.P.'!$F$7/'TIEMPO P.P.'!$H$3</f>
        <v>0.096</v>
      </c>
      <c r="E146" s="67"/>
      <c r="F146" s="143">
        <f>IF(DATOS!$I$9&gt;0,(DATOS!$C$4*'TIEMPO P.P.'!$I$3)/240,0)</f>
        <v>0</v>
      </c>
      <c r="G146" s="115">
        <f>D146*F146</f>
        <v>0</v>
      </c>
    </row>
    <row r="147" spans="3:7" ht="15">
      <c r="C147" s="25" t="s">
        <v>78</v>
      </c>
      <c r="D147" s="67">
        <f>'TIEMPO P.P.'!$F$18/'TIEMPO P.P.'!$H$3</f>
        <v>0.07555555555555556</v>
      </c>
      <c r="E147" s="67"/>
      <c r="F147" s="143">
        <f>IF(DATOS!$J$9&gt;0,DATOS!$C$5*'TIEMPO P.P.'!$I$14/240,0)</f>
        <v>0</v>
      </c>
      <c r="G147" s="115">
        <f>F147*D147</f>
        <v>0</v>
      </c>
    </row>
    <row r="148" spans="3:7" ht="15">
      <c r="C148" s="41" t="s">
        <v>187</v>
      </c>
      <c r="D148" s="42"/>
      <c r="E148" s="42"/>
      <c r="F148" s="143"/>
      <c r="G148" s="115"/>
    </row>
    <row r="149" spans="3:7" ht="15">
      <c r="C149" s="27" t="s">
        <v>140</v>
      </c>
      <c r="D149" s="68">
        <f>D146</f>
        <v>0.096</v>
      </c>
      <c r="E149" s="68"/>
      <c r="F149" s="141">
        <f>IF(DATOS!$I$14&gt;0,DATOS!$C$7*'TIEMPO P.P.'!$I$3/8,0)</f>
        <v>1.875</v>
      </c>
      <c r="G149" s="115">
        <f>D149*F149</f>
        <v>0.18</v>
      </c>
    </row>
    <row r="150" spans="3:7" ht="15.75" thickBot="1">
      <c r="C150" s="22" t="s">
        <v>78</v>
      </c>
      <c r="D150" s="71">
        <f>D147</f>
        <v>0.07555555555555556</v>
      </c>
      <c r="E150" s="71"/>
      <c r="F150" s="141">
        <f>IF(DATOS!$J$14&gt;0,DATOS!$C$8*'TIEMPO P.P.'!$I$14/8,0)</f>
        <v>1.875</v>
      </c>
      <c r="G150" s="115">
        <f>D150*F150</f>
        <v>0.14166666666666666</v>
      </c>
    </row>
    <row r="151" spans="3:7" ht="15.75" thickBot="1">
      <c r="C151" s="135" t="s">
        <v>93</v>
      </c>
      <c r="D151" s="38" t="s">
        <v>193</v>
      </c>
      <c r="E151" s="39"/>
      <c r="F151" s="145" t="s">
        <v>198</v>
      </c>
      <c r="G151" s="76">
        <f>SUM(G152:G154)</f>
        <v>0.37888296544312167</v>
      </c>
    </row>
    <row r="152" spans="3:7" ht="15">
      <c r="C152" s="25" t="s">
        <v>191</v>
      </c>
      <c r="D152" s="70">
        <f>('TIEMPO P.P.'!$E$7+'TIEMPO P.P.'!$E$18)/2</f>
        <v>0.32166666666666666</v>
      </c>
      <c r="E152" s="70"/>
      <c r="F152" s="143">
        <f>IF(DATOS!$F$51=0,DATOS!$F$20,DATOS!$F$51)</f>
        <v>1.1778745039682539</v>
      </c>
      <c r="G152" s="115">
        <f>D152*$F$45</f>
        <v>0.37888296544312167</v>
      </c>
    </row>
    <row r="153" spans="3:7" ht="15">
      <c r="C153" s="27" t="s">
        <v>192</v>
      </c>
      <c r="D153" s="69">
        <f>D152</f>
        <v>0.32166666666666666</v>
      </c>
      <c r="E153" s="69"/>
      <c r="F153" s="141">
        <f>DATOS!$F$65/ORDEN!$D$34</f>
        <v>0</v>
      </c>
      <c r="G153" s="115">
        <f>D153*$F$46</f>
        <v>0</v>
      </c>
    </row>
    <row r="154" spans="3:7" ht="15.75" thickBot="1">
      <c r="C154" s="27"/>
      <c r="D154" s="27"/>
      <c r="E154" s="27"/>
      <c r="F154" s="141"/>
      <c r="G154" s="115">
        <f>D154*F154</f>
        <v>0</v>
      </c>
    </row>
    <row r="155" spans="3:7" ht="17.25" thickBot="1" thickTop="1">
      <c r="C155" s="28"/>
      <c r="D155" s="543" t="s">
        <v>94</v>
      </c>
      <c r="E155" s="544"/>
      <c r="F155" s="545"/>
      <c r="G155" s="157">
        <f>G121+G144+G151</f>
        <v>2.7621294237764555</v>
      </c>
    </row>
    <row r="156" ht="15.75" thickTop="1"/>
    <row r="159" spans="3:7" ht="19.5" thickBot="1">
      <c r="C159" s="546" t="str">
        <f>PLATOS!D12</f>
        <v>Lomo con champiñones y 
pollo apanado</v>
      </c>
      <c r="D159" s="546"/>
      <c r="E159" s="546"/>
      <c r="F159" s="546"/>
      <c r="G159" s="546"/>
    </row>
    <row r="160" spans="4:7" ht="15.75" thickBot="1">
      <c r="D160" s="31" t="s">
        <v>96</v>
      </c>
      <c r="E160" s="31"/>
      <c r="F160" s="146" t="s">
        <v>95</v>
      </c>
      <c r="G160" s="113" t="s">
        <v>97</v>
      </c>
    </row>
    <row r="161" spans="3:7" ht="15.75" thickBot="1">
      <c r="C161" s="547" t="s">
        <v>91</v>
      </c>
      <c r="D161" s="548"/>
      <c r="E161" s="548"/>
      <c r="F161" s="549"/>
      <c r="G161" s="156">
        <f>SUM(G162:G182)+G20</f>
        <v>2.0575757916666673</v>
      </c>
    </row>
    <row r="162" spans="3:7" ht="15">
      <c r="C162" s="41" t="s">
        <v>369</v>
      </c>
      <c r="D162" s="27">
        <v>159.09</v>
      </c>
      <c r="E162" s="27" t="s">
        <v>284</v>
      </c>
      <c r="F162" s="143">
        <f>'LISTA DE PRODUCTOS'!$G$38</f>
        <v>0.0044</v>
      </c>
      <c r="G162" s="115">
        <f>D162*F162</f>
        <v>0.6999960000000001</v>
      </c>
    </row>
    <row r="163" spans="3:7" ht="15">
      <c r="C163" s="25" t="s">
        <v>295</v>
      </c>
      <c r="D163" s="27">
        <v>0.1</v>
      </c>
      <c r="E163" s="27" t="s">
        <v>284</v>
      </c>
      <c r="F163" s="143">
        <f>'LISTA DE PRODUCTOS'!$G$7</f>
        <v>0.007040000000000001</v>
      </c>
      <c r="G163" s="115">
        <f aca="true" t="shared" si="6" ref="G163:G177">D163*F163</f>
        <v>0.0007040000000000002</v>
      </c>
    </row>
    <row r="164" spans="3:7" ht="15">
      <c r="C164" s="25" t="s">
        <v>292</v>
      </c>
      <c r="D164" s="27">
        <v>0.1</v>
      </c>
      <c r="E164" s="27" t="s">
        <v>284</v>
      </c>
      <c r="F164" s="143">
        <f>'LISTA DE PRODUCTOS'!$G$8</f>
        <v>0.0055000000000000005</v>
      </c>
      <c r="G164" s="115">
        <f t="shared" si="6"/>
        <v>0.00055</v>
      </c>
    </row>
    <row r="165" spans="3:7" ht="15">
      <c r="C165" s="25" t="s">
        <v>343</v>
      </c>
      <c r="D165" s="27">
        <v>20</v>
      </c>
      <c r="E165" s="27" t="s">
        <v>284</v>
      </c>
      <c r="F165" s="143">
        <f>'LISTA DE PRODUCTOS'!$G$19</f>
        <v>0.006208400000000001</v>
      </c>
      <c r="G165" s="115">
        <f t="shared" si="6"/>
        <v>0.12416800000000003</v>
      </c>
    </row>
    <row r="166" spans="3:7" ht="15">
      <c r="C166" s="25" t="s">
        <v>293</v>
      </c>
      <c r="D166" s="27">
        <v>0.1</v>
      </c>
      <c r="E166" s="27" t="s">
        <v>284</v>
      </c>
      <c r="F166" s="143">
        <f>'LISTA DE PRODUCTOS'!$G$26</f>
        <v>0.0035200000000000006</v>
      </c>
      <c r="G166" s="115">
        <f t="shared" si="6"/>
        <v>0.0003520000000000001</v>
      </c>
    </row>
    <row r="167" spans="3:7" ht="15">
      <c r="C167" s="25" t="s">
        <v>294</v>
      </c>
      <c r="D167" s="27">
        <v>0.1</v>
      </c>
      <c r="E167" s="27" t="s">
        <v>284</v>
      </c>
      <c r="F167" s="141">
        <f>'LISTA DE PRODUCTOS'!$G$53</f>
        <v>0.0074800000000000005</v>
      </c>
      <c r="G167" s="115">
        <f t="shared" si="6"/>
        <v>0.0007480000000000001</v>
      </c>
    </row>
    <row r="168" spans="3:7" ht="15">
      <c r="C168" s="25" t="s">
        <v>291</v>
      </c>
      <c r="D168" s="27">
        <v>0.1</v>
      </c>
      <c r="E168" s="27" t="s">
        <v>284</v>
      </c>
      <c r="F168" s="141">
        <f>'LISTA DE PRODUCTOS'!$G$58</f>
        <v>0.007040000000000001</v>
      </c>
      <c r="G168" s="115">
        <f t="shared" si="6"/>
        <v>0.0007040000000000002</v>
      </c>
    </row>
    <row r="169" spans="3:7" ht="15">
      <c r="C169" s="25" t="s">
        <v>262</v>
      </c>
      <c r="D169" s="27">
        <v>2.27</v>
      </c>
      <c r="E169" s="27" t="s">
        <v>284</v>
      </c>
      <c r="F169" s="141">
        <f>'LISTA DE PRODUCTOS'!$G$59</f>
        <v>0.0015400000000000001</v>
      </c>
      <c r="G169" s="115">
        <f t="shared" si="6"/>
        <v>0.0034958000000000003</v>
      </c>
    </row>
    <row r="170" spans="3:7" ht="15">
      <c r="C170" s="25" t="s">
        <v>430</v>
      </c>
      <c r="D170" s="27">
        <v>4.2</v>
      </c>
      <c r="E170" s="27" t="s">
        <v>284</v>
      </c>
      <c r="F170" s="141">
        <f>'LISTA DE PRODUCTOS'!$G$63</f>
        <v>2.7971428571428573E-05</v>
      </c>
      <c r="G170" s="115">
        <f t="shared" si="6"/>
        <v>0.00011748000000000001</v>
      </c>
    </row>
    <row r="171" spans="3:7" ht="15">
      <c r="C171" s="25"/>
      <c r="D171" s="25"/>
      <c r="E171" s="25"/>
      <c r="F171" s="143"/>
      <c r="G171" s="115"/>
    </row>
    <row r="172" spans="3:7" ht="15">
      <c r="C172" s="41" t="s">
        <v>336</v>
      </c>
      <c r="D172" s="27">
        <v>286.37</v>
      </c>
      <c r="E172" s="25" t="s">
        <v>284</v>
      </c>
      <c r="F172" s="143">
        <f>'LISTA DE PRODUCTOS'!$G$55</f>
        <v>0.0022</v>
      </c>
      <c r="G172" s="115">
        <f t="shared" si="6"/>
        <v>0.6300140000000001</v>
      </c>
    </row>
    <row r="173" spans="3:7" ht="15">
      <c r="C173" s="25" t="s">
        <v>295</v>
      </c>
      <c r="D173" s="25">
        <v>0.1</v>
      </c>
      <c r="E173" s="25" t="s">
        <v>284</v>
      </c>
      <c r="F173" s="143">
        <f>'LISTA DE PRODUCTOS'!$G$7</f>
        <v>0.007040000000000001</v>
      </c>
      <c r="G173" s="115">
        <f t="shared" si="6"/>
        <v>0.0007040000000000002</v>
      </c>
    </row>
    <row r="174" spans="3:7" ht="15">
      <c r="C174" s="25" t="s">
        <v>292</v>
      </c>
      <c r="D174" s="25">
        <v>0.1</v>
      </c>
      <c r="E174" s="25" t="s">
        <v>284</v>
      </c>
      <c r="F174" s="143">
        <f>'LISTA DE PRODUCTOS'!$G$8</f>
        <v>0.0055000000000000005</v>
      </c>
      <c r="G174" s="115">
        <f t="shared" si="6"/>
        <v>0.00055</v>
      </c>
    </row>
    <row r="175" spans="3:7" ht="15">
      <c r="C175" s="25" t="s">
        <v>352</v>
      </c>
      <c r="D175" s="25">
        <v>36.36</v>
      </c>
      <c r="E175" s="25" t="s">
        <v>284</v>
      </c>
      <c r="F175" s="143">
        <f>'LISTA DE PRODUCTOS'!$G$10</f>
        <v>0.0022</v>
      </c>
      <c r="G175" s="115">
        <f t="shared" si="6"/>
        <v>0.07999200000000001</v>
      </c>
    </row>
    <row r="176" spans="3:7" ht="15">
      <c r="C176" s="25" t="s">
        <v>374</v>
      </c>
      <c r="D176" s="25">
        <v>18.18</v>
      </c>
      <c r="E176" s="25" t="s">
        <v>284</v>
      </c>
      <c r="F176" s="141">
        <f>'LISTA DE PRODUCTOS'!$G$12</f>
        <v>0.0006160000000000001</v>
      </c>
      <c r="G176" s="115">
        <f t="shared" si="6"/>
        <v>0.011198880000000001</v>
      </c>
    </row>
    <row r="177" spans="3:7" ht="15">
      <c r="C177" s="25" t="s">
        <v>293</v>
      </c>
      <c r="D177" s="25">
        <v>0.1</v>
      </c>
      <c r="E177" s="25" t="s">
        <v>284</v>
      </c>
      <c r="F177" s="143">
        <f>'LISTA DE PRODUCTOS'!$G$26</f>
        <v>0.0035200000000000006</v>
      </c>
      <c r="G177" s="115">
        <f t="shared" si="6"/>
        <v>0.0003520000000000001</v>
      </c>
    </row>
    <row r="178" spans="3:7" ht="15">
      <c r="C178" s="27" t="s">
        <v>330</v>
      </c>
      <c r="D178" s="25">
        <v>1</v>
      </c>
      <c r="E178" s="25" t="s">
        <v>284</v>
      </c>
      <c r="F178" s="141">
        <f>'LISTA DE PRODUCTOS'!$G$31</f>
        <v>0.10666666666666667</v>
      </c>
      <c r="G178" s="115">
        <f>D178*F178</f>
        <v>0.10666666666666667</v>
      </c>
    </row>
    <row r="179" spans="3:7" ht="15">
      <c r="C179" s="27" t="s">
        <v>375</v>
      </c>
      <c r="D179" s="25">
        <v>4.55</v>
      </c>
      <c r="E179" s="25" t="s">
        <v>284</v>
      </c>
      <c r="F179" s="141">
        <f>'LISTA DE PRODUCTOS'!$G$33</f>
        <v>0.0007150000000000001</v>
      </c>
      <c r="G179" s="115">
        <f>D179*F179</f>
        <v>0.0032532500000000005</v>
      </c>
    </row>
    <row r="180" spans="3:7" ht="15">
      <c r="C180" s="27" t="s">
        <v>294</v>
      </c>
      <c r="D180" s="27">
        <v>0.1</v>
      </c>
      <c r="E180" s="27" t="s">
        <v>284</v>
      </c>
      <c r="F180" s="141">
        <f>'LISTA DE PRODUCTOS'!$G$53</f>
        <v>0.0074800000000000005</v>
      </c>
      <c r="G180" s="115">
        <f>D180*F180</f>
        <v>0.0007480000000000001</v>
      </c>
    </row>
    <row r="181" spans="3:7" ht="15">
      <c r="C181" s="27" t="s">
        <v>291</v>
      </c>
      <c r="D181" s="27">
        <v>0.1</v>
      </c>
      <c r="E181" s="27" t="s">
        <v>284</v>
      </c>
      <c r="F181" s="141">
        <f>'LISTA DE PRODUCTOS'!$G$58</f>
        <v>0.007040000000000001</v>
      </c>
      <c r="G181" s="115">
        <f>D181*F181</f>
        <v>0.0007040000000000002</v>
      </c>
    </row>
    <row r="182" spans="3:7" ht="15">
      <c r="C182" s="27" t="s">
        <v>262</v>
      </c>
      <c r="D182" s="27">
        <v>2.27</v>
      </c>
      <c r="E182" s="27" t="s">
        <v>284</v>
      </c>
      <c r="F182" s="141">
        <f>'LISTA DE PRODUCTOS'!$G$59</f>
        <v>0.0015400000000000001</v>
      </c>
      <c r="G182" s="115">
        <f>D182*F182</f>
        <v>0.0034958000000000003</v>
      </c>
    </row>
    <row r="183" spans="3:7" ht="15.75" thickBot="1">
      <c r="C183" s="2"/>
      <c r="D183" s="2"/>
      <c r="E183" s="2"/>
      <c r="F183" s="144"/>
      <c r="G183" s="136"/>
    </row>
    <row r="184" spans="3:7" ht="15.75" thickBot="1">
      <c r="C184" s="135" t="s">
        <v>92</v>
      </c>
      <c r="D184" s="38" t="s">
        <v>185</v>
      </c>
      <c r="E184" s="39"/>
      <c r="F184" s="145" t="s">
        <v>184</v>
      </c>
      <c r="G184" s="76">
        <f>SUM(G185:G190)</f>
        <v>0.32166666666666666</v>
      </c>
    </row>
    <row r="185" spans="3:7" ht="15">
      <c r="C185" s="41" t="s">
        <v>186</v>
      </c>
      <c r="D185" s="40"/>
      <c r="E185" s="40"/>
      <c r="F185" s="143"/>
      <c r="G185" s="115"/>
    </row>
    <row r="186" spans="3:7" ht="15">
      <c r="C186" s="25" t="s">
        <v>140</v>
      </c>
      <c r="D186" s="67">
        <f>'TIEMPO P.P.'!$F$7/'TIEMPO P.P.'!$H$3</f>
        <v>0.096</v>
      </c>
      <c r="E186" s="67"/>
      <c r="F186" s="143">
        <f>IF(DATOS!$I$9&gt;0,(DATOS!$C$4*'TIEMPO P.P.'!$I$3)/240,0)</f>
        <v>0</v>
      </c>
      <c r="G186" s="115">
        <f>D186*F186</f>
        <v>0</v>
      </c>
    </row>
    <row r="187" spans="3:7" ht="15">
      <c r="C187" s="25" t="s">
        <v>78</v>
      </c>
      <c r="D187" s="67">
        <f>'TIEMPO P.P.'!$F$18/'TIEMPO P.P.'!$H$3</f>
        <v>0.07555555555555556</v>
      </c>
      <c r="E187" s="67"/>
      <c r="F187" s="143">
        <f>IF(DATOS!$J$9&gt;0,DATOS!$C$5*'TIEMPO P.P.'!$I$14/240,0)</f>
        <v>0</v>
      </c>
      <c r="G187" s="115">
        <f>F187*D187</f>
        <v>0</v>
      </c>
    </row>
    <row r="188" spans="3:7" ht="15">
      <c r="C188" s="41" t="s">
        <v>187</v>
      </c>
      <c r="D188" s="42"/>
      <c r="E188" s="42"/>
      <c r="F188" s="143"/>
      <c r="G188" s="115"/>
    </row>
    <row r="189" spans="3:7" ht="15">
      <c r="C189" s="27" t="s">
        <v>140</v>
      </c>
      <c r="D189" s="68">
        <f>D186</f>
        <v>0.096</v>
      </c>
      <c r="E189" s="68"/>
      <c r="F189" s="141">
        <f>IF(DATOS!$I$14&gt;0,DATOS!$C$7*'TIEMPO P.P.'!$I$3/8,0)</f>
        <v>1.875</v>
      </c>
      <c r="G189" s="115">
        <f>D189*F189</f>
        <v>0.18</v>
      </c>
    </row>
    <row r="190" spans="3:7" ht="15.75" thickBot="1">
      <c r="C190" s="22" t="s">
        <v>78</v>
      </c>
      <c r="D190" s="71">
        <f>D187</f>
        <v>0.07555555555555556</v>
      </c>
      <c r="E190" s="71"/>
      <c r="F190" s="141">
        <f>IF(DATOS!$J$14&gt;0,DATOS!$C$8*'TIEMPO P.P.'!$I$14/8,0)</f>
        <v>1.875</v>
      </c>
      <c r="G190" s="115">
        <f>D190*F190</f>
        <v>0.14166666666666666</v>
      </c>
    </row>
    <row r="191" spans="3:7" ht="15.75" thickBot="1">
      <c r="C191" s="135" t="s">
        <v>93</v>
      </c>
      <c r="D191" s="38" t="s">
        <v>193</v>
      </c>
      <c r="E191" s="39"/>
      <c r="F191" s="145" t="s">
        <v>198</v>
      </c>
      <c r="G191" s="76">
        <f>SUM(G192:G194)</f>
        <v>0.37888296544312167</v>
      </c>
    </row>
    <row r="192" spans="3:7" ht="15">
      <c r="C192" s="25" t="s">
        <v>191</v>
      </c>
      <c r="D192" s="70">
        <f>('TIEMPO P.P.'!$E$7+'TIEMPO P.P.'!$E$18)/2</f>
        <v>0.32166666666666666</v>
      </c>
      <c r="E192" s="70"/>
      <c r="F192" s="143">
        <f>IF(DATOS!$F$51=0,DATOS!$F$20,DATOS!$F$51)</f>
        <v>1.1778745039682539</v>
      </c>
      <c r="G192" s="115">
        <f>D192*$F$45</f>
        <v>0.37888296544312167</v>
      </c>
    </row>
    <row r="193" spans="3:7" ht="15">
      <c r="C193" s="27" t="s">
        <v>192</v>
      </c>
      <c r="D193" s="69">
        <f>D192</f>
        <v>0.32166666666666666</v>
      </c>
      <c r="E193" s="69"/>
      <c r="F193" s="141">
        <f>DATOS!$F$65/ORDEN!$D$34</f>
        <v>0</v>
      </c>
      <c r="G193" s="115">
        <f>D193*$F$46</f>
        <v>0</v>
      </c>
    </row>
    <row r="194" spans="3:7" ht="15.75" thickBot="1">
      <c r="C194" s="27"/>
      <c r="D194" s="27"/>
      <c r="E194" s="27"/>
      <c r="F194" s="141"/>
      <c r="G194" s="115">
        <f>D194*F194</f>
        <v>0</v>
      </c>
    </row>
    <row r="195" spans="3:7" ht="17.25" thickBot="1" thickTop="1">
      <c r="C195" s="28"/>
      <c r="D195" s="543" t="s">
        <v>94</v>
      </c>
      <c r="E195" s="544"/>
      <c r="F195" s="545"/>
      <c r="G195" s="157">
        <f>G161+G184+G191</f>
        <v>2.758125423776456</v>
      </c>
    </row>
    <row r="196" ht="15.75" thickTop="1"/>
    <row r="198" spans="3:7" ht="19.5" thickBot="1">
      <c r="C198" s="546" t="str">
        <f>PLATOS!D13</f>
        <v>Lomo napolitano y pollo en 
salsa de champiñones</v>
      </c>
      <c r="D198" s="546"/>
      <c r="E198" s="546"/>
      <c r="F198" s="546"/>
      <c r="G198" s="546"/>
    </row>
    <row r="199" spans="4:7" ht="15.75" thickBot="1">
      <c r="D199" s="31" t="s">
        <v>96</v>
      </c>
      <c r="E199" s="31"/>
      <c r="F199" s="146" t="s">
        <v>95</v>
      </c>
      <c r="G199" s="113" t="s">
        <v>97</v>
      </c>
    </row>
    <row r="200" spans="3:7" ht="15.75" thickBot="1">
      <c r="C200" s="547" t="s">
        <v>91</v>
      </c>
      <c r="D200" s="548"/>
      <c r="E200" s="548"/>
      <c r="F200" s="549"/>
      <c r="G200" s="156">
        <f>SUM(G201:G224)+G20</f>
        <v>1.6591218016666667</v>
      </c>
    </row>
    <row r="201" spans="3:7" ht="15">
      <c r="C201" s="41" t="s">
        <v>376</v>
      </c>
      <c r="D201" s="25">
        <v>90.91</v>
      </c>
      <c r="E201" s="25" t="s">
        <v>284</v>
      </c>
      <c r="F201" s="143">
        <f>'LISTA DE PRODUCTOS'!$G$16</f>
        <v>0.0035200000000000006</v>
      </c>
      <c r="G201" s="115">
        <f>D201*F201</f>
        <v>0.32000320000000004</v>
      </c>
    </row>
    <row r="202" spans="3:7" ht="15">
      <c r="C202" s="25" t="s">
        <v>263</v>
      </c>
      <c r="D202" s="25">
        <v>0.15</v>
      </c>
      <c r="E202" s="25" t="s">
        <v>284</v>
      </c>
      <c r="F202" s="143">
        <f>'LISTA DE PRODUCTOS'!$G$3</f>
        <v>0.00033</v>
      </c>
      <c r="G202" s="115">
        <f aca="true" t="shared" si="7" ref="G202:G224">D202*F202</f>
        <v>4.95E-05</v>
      </c>
    </row>
    <row r="203" spans="3:7" ht="15">
      <c r="C203" s="25" t="s">
        <v>295</v>
      </c>
      <c r="D203" s="25">
        <v>0.1</v>
      </c>
      <c r="E203" s="25" t="s">
        <v>284</v>
      </c>
      <c r="F203" s="143">
        <f>'LISTA DE PRODUCTOS'!$G$7</f>
        <v>0.007040000000000001</v>
      </c>
      <c r="G203" s="115">
        <f t="shared" si="7"/>
        <v>0.0007040000000000002</v>
      </c>
    </row>
    <row r="204" spans="3:7" ht="15">
      <c r="C204" s="25" t="s">
        <v>292</v>
      </c>
      <c r="D204" s="25">
        <v>0.1</v>
      </c>
      <c r="E204" s="25" t="s">
        <v>284</v>
      </c>
      <c r="F204" s="143">
        <f>'LISTA DE PRODUCTOS'!$G$8</f>
        <v>0.0055000000000000005</v>
      </c>
      <c r="G204" s="115">
        <f t="shared" si="7"/>
        <v>0.00055</v>
      </c>
    </row>
    <row r="205" spans="3:7" ht="15">
      <c r="C205" s="25" t="s">
        <v>352</v>
      </c>
      <c r="D205" s="25">
        <v>18.18</v>
      </c>
      <c r="E205" s="25" t="s">
        <v>284</v>
      </c>
      <c r="F205" s="143">
        <f>'LISTA DE PRODUCTOS'!$G$10</f>
        <v>0.0022</v>
      </c>
      <c r="G205" s="115">
        <f t="shared" si="7"/>
        <v>0.039996000000000004</v>
      </c>
    </row>
    <row r="206" spans="3:7" ht="15">
      <c r="C206" s="25" t="s">
        <v>329</v>
      </c>
      <c r="D206" s="25">
        <v>9.09</v>
      </c>
      <c r="E206" s="25" t="s">
        <v>284</v>
      </c>
      <c r="F206" s="141">
        <f>'LISTA DE PRODUCTOS'!$G$12</f>
        <v>0.0006160000000000001</v>
      </c>
      <c r="G206" s="115">
        <f t="shared" si="7"/>
        <v>0.005599440000000001</v>
      </c>
    </row>
    <row r="207" spans="3:7" ht="15">
      <c r="C207" s="25" t="s">
        <v>377</v>
      </c>
      <c r="D207" s="25">
        <v>9.09</v>
      </c>
      <c r="E207" s="25" t="s">
        <v>284</v>
      </c>
      <c r="F207" s="141">
        <f>'LISTA DE PRODUCTOS'!$G$14</f>
        <v>0.0022</v>
      </c>
      <c r="G207" s="115">
        <f t="shared" si="7"/>
        <v>0.019998000000000002</v>
      </c>
    </row>
    <row r="208" spans="3:7" ht="15">
      <c r="C208" s="25" t="s">
        <v>293</v>
      </c>
      <c r="D208" s="25">
        <v>0.1</v>
      </c>
      <c r="E208" s="25" t="s">
        <v>284</v>
      </c>
      <c r="F208" s="143">
        <f>'LISTA DE PRODUCTOS'!$G$26</f>
        <v>0.0035200000000000006</v>
      </c>
      <c r="G208" s="115">
        <f t="shared" si="7"/>
        <v>0.0003520000000000001</v>
      </c>
    </row>
    <row r="209" spans="3:7" ht="15">
      <c r="C209" s="25" t="s">
        <v>330</v>
      </c>
      <c r="D209" s="25">
        <v>1</v>
      </c>
      <c r="E209" s="25" t="s">
        <v>283</v>
      </c>
      <c r="F209" s="141">
        <f>'LISTA DE PRODUCTOS'!$G$31</f>
        <v>0.10666666666666667</v>
      </c>
      <c r="G209" s="115">
        <f t="shared" si="7"/>
        <v>0.10666666666666667</v>
      </c>
    </row>
    <row r="210" spans="3:7" ht="15">
      <c r="C210" s="25" t="s">
        <v>355</v>
      </c>
      <c r="D210" s="25">
        <v>0.1</v>
      </c>
      <c r="E210" s="25" t="s">
        <v>284</v>
      </c>
      <c r="F210" s="143">
        <f>'LISTA DE PRODUCTOS'!$G$48</f>
        <v>0.0033000000000000004</v>
      </c>
      <c r="G210" s="115">
        <f t="shared" si="7"/>
        <v>0.00033000000000000005</v>
      </c>
    </row>
    <row r="211" spans="3:7" ht="15">
      <c r="C211" s="25" t="s">
        <v>294</v>
      </c>
      <c r="D211" s="25">
        <v>0.1</v>
      </c>
      <c r="E211" s="25" t="s">
        <v>284</v>
      </c>
      <c r="F211" s="141">
        <f>'LISTA DE PRODUCTOS'!$G$53</f>
        <v>0.0074800000000000005</v>
      </c>
      <c r="G211" s="115">
        <f t="shared" si="7"/>
        <v>0.0007480000000000001</v>
      </c>
    </row>
    <row r="212" spans="3:7" ht="15">
      <c r="C212" s="27" t="s">
        <v>291</v>
      </c>
      <c r="D212" s="25">
        <v>0.1</v>
      </c>
      <c r="E212" s="25" t="s">
        <v>284</v>
      </c>
      <c r="F212" s="141">
        <f>'LISTA DE PRODUCTOS'!$G$58</f>
        <v>0.007040000000000001</v>
      </c>
      <c r="G212" s="115">
        <f t="shared" si="7"/>
        <v>0.0007040000000000002</v>
      </c>
    </row>
    <row r="213" spans="3:7" ht="15">
      <c r="C213" s="27" t="s">
        <v>262</v>
      </c>
      <c r="D213" s="27">
        <v>2.27</v>
      </c>
      <c r="E213" s="27" t="s">
        <v>284</v>
      </c>
      <c r="F213" s="141">
        <f>'LISTA DE PRODUCTOS'!$G$59</f>
        <v>0.0015400000000000001</v>
      </c>
      <c r="G213" s="115">
        <f t="shared" si="7"/>
        <v>0.0034958000000000003</v>
      </c>
    </row>
    <row r="214" spans="3:7" ht="15">
      <c r="C214" s="27" t="s">
        <v>378</v>
      </c>
      <c r="D214" s="27">
        <v>4.55</v>
      </c>
      <c r="E214" s="27" t="s">
        <v>284</v>
      </c>
      <c r="F214" s="141">
        <f>'LISTA DE PRODUCTOS'!$G$67</f>
        <v>0.0022</v>
      </c>
      <c r="G214" s="115">
        <f t="shared" si="7"/>
        <v>0.01001</v>
      </c>
    </row>
    <row r="215" spans="3:7" ht="15">
      <c r="C215" s="27"/>
      <c r="D215" s="27"/>
      <c r="E215" s="27"/>
      <c r="F215" s="141"/>
      <c r="G215" s="115"/>
    </row>
    <row r="216" spans="3:7" ht="15">
      <c r="C216" s="41" t="s">
        <v>336</v>
      </c>
      <c r="D216" s="27">
        <v>286.37</v>
      </c>
      <c r="E216" s="27" t="s">
        <v>284</v>
      </c>
      <c r="F216" s="143">
        <f>'LISTA DE PRODUCTOS'!$G$55</f>
        <v>0.0022</v>
      </c>
      <c r="G216" s="115">
        <f t="shared" si="7"/>
        <v>0.6300140000000001</v>
      </c>
    </row>
    <row r="217" spans="3:7" ht="15">
      <c r="C217" s="25" t="s">
        <v>295</v>
      </c>
      <c r="D217" s="27">
        <v>0.1</v>
      </c>
      <c r="E217" s="27" t="s">
        <v>284</v>
      </c>
      <c r="F217" s="143">
        <f>'LISTA DE PRODUCTOS'!$G$7</f>
        <v>0.007040000000000001</v>
      </c>
      <c r="G217" s="115">
        <f t="shared" si="7"/>
        <v>0.0007040000000000002</v>
      </c>
    </row>
    <row r="218" spans="3:7" ht="15">
      <c r="C218" s="25" t="s">
        <v>292</v>
      </c>
      <c r="D218" s="27">
        <v>0.1</v>
      </c>
      <c r="E218" s="27" t="s">
        <v>284</v>
      </c>
      <c r="F218" s="143">
        <f>'LISTA DE PRODUCTOS'!$G$8</f>
        <v>0.0055000000000000005</v>
      </c>
      <c r="G218" s="115">
        <f t="shared" si="7"/>
        <v>0.00055</v>
      </c>
    </row>
    <row r="219" spans="3:7" ht="15">
      <c r="C219" s="25" t="s">
        <v>343</v>
      </c>
      <c r="D219" s="27">
        <v>20</v>
      </c>
      <c r="E219" s="27" t="s">
        <v>284</v>
      </c>
      <c r="F219" s="143">
        <f>'LISTA DE PRODUCTOS'!$G$19</f>
        <v>0.006208400000000001</v>
      </c>
      <c r="G219" s="115">
        <f t="shared" si="7"/>
        <v>0.12416800000000003</v>
      </c>
    </row>
    <row r="220" spans="3:7" ht="15">
      <c r="C220" s="27" t="s">
        <v>293</v>
      </c>
      <c r="D220" s="27">
        <v>0.1</v>
      </c>
      <c r="E220" s="27" t="s">
        <v>284</v>
      </c>
      <c r="F220" s="143">
        <f>'LISTA DE PRODUCTOS'!$G$26</f>
        <v>0.0035200000000000006</v>
      </c>
      <c r="G220" s="115">
        <f t="shared" si="7"/>
        <v>0.0003520000000000001</v>
      </c>
    </row>
    <row r="221" spans="3:7" ht="15">
      <c r="C221" s="27" t="s">
        <v>294</v>
      </c>
      <c r="D221" s="27">
        <v>0.1</v>
      </c>
      <c r="E221" s="27" t="s">
        <v>284</v>
      </c>
      <c r="F221" s="141">
        <f>'LISTA DE PRODUCTOS'!$G$53</f>
        <v>0.0074800000000000005</v>
      </c>
      <c r="G221" s="115">
        <f t="shared" si="7"/>
        <v>0.0007480000000000001</v>
      </c>
    </row>
    <row r="222" spans="3:7" ht="15">
      <c r="C222" s="27" t="s">
        <v>291</v>
      </c>
      <c r="D222" s="27">
        <v>0.1</v>
      </c>
      <c r="E222" s="27" t="s">
        <v>284</v>
      </c>
      <c r="F222" s="141">
        <f>'LISTA DE PRODUCTOS'!$G$58</f>
        <v>0.007040000000000001</v>
      </c>
      <c r="G222" s="115">
        <f t="shared" si="7"/>
        <v>0.0007040000000000002</v>
      </c>
    </row>
    <row r="223" spans="3:7" ht="15">
      <c r="C223" s="27" t="s">
        <v>262</v>
      </c>
      <c r="D223" s="27">
        <v>2.27</v>
      </c>
      <c r="E223" s="27" t="s">
        <v>284</v>
      </c>
      <c r="F223" s="141">
        <f>'LISTA DE PRODUCTOS'!$G$59</f>
        <v>0.0015400000000000001</v>
      </c>
      <c r="G223" s="115">
        <f t="shared" si="7"/>
        <v>0.0034958000000000003</v>
      </c>
    </row>
    <row r="224" spans="3:7" ht="15">
      <c r="C224" s="27" t="s">
        <v>430</v>
      </c>
      <c r="D224" s="27">
        <v>4.2</v>
      </c>
      <c r="E224" s="27" t="s">
        <v>284</v>
      </c>
      <c r="F224" s="141">
        <f>'LISTA DE PRODUCTOS'!$G$63</f>
        <v>2.7971428571428573E-05</v>
      </c>
      <c r="G224" s="115">
        <f t="shared" si="7"/>
        <v>0.00011748000000000001</v>
      </c>
    </row>
    <row r="225" spans="3:7" ht="15.75" thickBot="1">
      <c r="C225" s="2"/>
      <c r="D225" s="2"/>
      <c r="E225" s="2"/>
      <c r="F225" s="144"/>
      <c r="G225" s="136"/>
    </row>
    <row r="226" spans="3:7" ht="15.75" thickBot="1">
      <c r="C226" s="135" t="s">
        <v>92</v>
      </c>
      <c r="D226" s="38" t="s">
        <v>185</v>
      </c>
      <c r="E226" s="39"/>
      <c r="F226" s="145" t="s">
        <v>184</v>
      </c>
      <c r="G226" s="76">
        <f>SUM(G227:G232)</f>
        <v>0.32166666666666666</v>
      </c>
    </row>
    <row r="227" spans="3:7" ht="15">
      <c r="C227" s="41" t="s">
        <v>186</v>
      </c>
      <c r="D227" s="40"/>
      <c r="E227" s="40"/>
      <c r="F227" s="143"/>
      <c r="G227" s="115"/>
    </row>
    <row r="228" spans="3:7" ht="15">
      <c r="C228" s="25" t="s">
        <v>140</v>
      </c>
      <c r="D228" s="67">
        <f>'TIEMPO P.P.'!$F$7/'TIEMPO P.P.'!$H$3</f>
        <v>0.096</v>
      </c>
      <c r="E228" s="67"/>
      <c r="F228" s="143">
        <f>IF(DATOS!$I$9&gt;0,(DATOS!$C$4*'TIEMPO P.P.'!$I$3)/240,0)</f>
        <v>0</v>
      </c>
      <c r="G228" s="115">
        <f>D228*F228</f>
        <v>0</v>
      </c>
    </row>
    <row r="229" spans="3:7" ht="15">
      <c r="C229" s="25" t="s">
        <v>78</v>
      </c>
      <c r="D229" s="67">
        <f>'TIEMPO P.P.'!$F$18/'TIEMPO P.P.'!$H$3</f>
        <v>0.07555555555555556</v>
      </c>
      <c r="E229" s="67"/>
      <c r="F229" s="143">
        <f>IF(DATOS!$J$9&gt;0,DATOS!$C$5*'TIEMPO P.P.'!$I$14/240,0)</f>
        <v>0</v>
      </c>
      <c r="G229" s="115">
        <f>F229*D229</f>
        <v>0</v>
      </c>
    </row>
    <row r="230" spans="3:7" ht="15">
      <c r="C230" s="41" t="s">
        <v>187</v>
      </c>
      <c r="D230" s="42"/>
      <c r="E230" s="42"/>
      <c r="F230" s="143"/>
      <c r="G230" s="115"/>
    </row>
    <row r="231" spans="3:7" ht="15">
      <c r="C231" s="27" t="s">
        <v>140</v>
      </c>
      <c r="D231" s="68">
        <f>D228</f>
        <v>0.096</v>
      </c>
      <c r="E231" s="68"/>
      <c r="F231" s="141">
        <f>IF(DATOS!$I$14&gt;0,DATOS!$C$7*'TIEMPO P.P.'!$I$3/8,0)</f>
        <v>1.875</v>
      </c>
      <c r="G231" s="115">
        <f>D231*F231</f>
        <v>0.18</v>
      </c>
    </row>
    <row r="232" spans="3:7" ht="15.75" thickBot="1">
      <c r="C232" s="22" t="s">
        <v>78</v>
      </c>
      <c r="D232" s="71">
        <f>D229</f>
        <v>0.07555555555555556</v>
      </c>
      <c r="E232" s="71"/>
      <c r="F232" s="141">
        <f>IF(DATOS!$J$14&gt;0,DATOS!$C$8*'TIEMPO P.P.'!$I$14/8,0)</f>
        <v>1.875</v>
      </c>
      <c r="G232" s="115">
        <f>D232*F232</f>
        <v>0.14166666666666666</v>
      </c>
    </row>
    <row r="233" spans="3:7" ht="15.75" thickBot="1">
      <c r="C233" s="135" t="s">
        <v>93</v>
      </c>
      <c r="D233" s="38" t="s">
        <v>193</v>
      </c>
      <c r="E233" s="39"/>
      <c r="F233" s="145" t="s">
        <v>198</v>
      </c>
      <c r="G233" s="76">
        <f>SUM(G234:G236)</f>
        <v>0.37888296544312167</v>
      </c>
    </row>
    <row r="234" spans="3:7" ht="15">
      <c r="C234" s="25" t="s">
        <v>191</v>
      </c>
      <c r="D234" s="70">
        <f>('TIEMPO P.P.'!$E$7+'TIEMPO P.P.'!$E$18)/2</f>
        <v>0.32166666666666666</v>
      </c>
      <c r="E234" s="70"/>
      <c r="F234" s="143">
        <f>IF(DATOS!$F$51=0,DATOS!$F$20,DATOS!$F$51)</f>
        <v>1.1778745039682539</v>
      </c>
      <c r="G234" s="115">
        <f>D234*$F$45</f>
        <v>0.37888296544312167</v>
      </c>
    </row>
    <row r="235" spans="3:7" ht="15">
      <c r="C235" s="27" t="s">
        <v>192</v>
      </c>
      <c r="D235" s="69">
        <f>D234</f>
        <v>0.32166666666666666</v>
      </c>
      <c r="E235" s="69"/>
      <c r="F235" s="141">
        <f>DATOS!$F$65/ORDEN!$D$34</f>
        <v>0</v>
      </c>
      <c r="G235" s="115">
        <f>D235*$F$46</f>
        <v>0</v>
      </c>
    </row>
    <row r="236" spans="3:7" ht="15.75" thickBot="1">
      <c r="C236" s="27"/>
      <c r="D236" s="27"/>
      <c r="E236" s="27"/>
      <c r="F236" s="141"/>
      <c r="G236" s="115">
        <f>D236*F236</f>
        <v>0</v>
      </c>
    </row>
    <row r="237" spans="3:7" ht="17.25" thickBot="1" thickTop="1">
      <c r="C237" s="28"/>
      <c r="D237" s="543" t="s">
        <v>94</v>
      </c>
      <c r="E237" s="544"/>
      <c r="F237" s="545"/>
      <c r="G237" s="157">
        <f>G200+G226+G233</f>
        <v>2.3596714337764553</v>
      </c>
    </row>
    <row r="238" ht="15.75" thickTop="1"/>
    <row r="241" spans="3:7" ht="19.5" thickBot="1">
      <c r="C241" s="546" t="str">
        <f>PLATOS!D14</f>
        <v>Lengua en salsa de champiñones 
y pollo apanado</v>
      </c>
      <c r="D241" s="546"/>
      <c r="E241" s="546"/>
      <c r="F241" s="546"/>
      <c r="G241" s="546"/>
    </row>
    <row r="242" spans="4:7" ht="15.75" thickBot="1">
      <c r="D242" s="31" t="s">
        <v>96</v>
      </c>
      <c r="E242" s="31"/>
      <c r="F242" s="146" t="s">
        <v>95</v>
      </c>
      <c r="G242" s="113" t="s">
        <v>97</v>
      </c>
    </row>
    <row r="243" spans="3:7" ht="15.75" thickBot="1">
      <c r="C243" s="547" t="s">
        <v>91</v>
      </c>
      <c r="D243" s="548"/>
      <c r="E243" s="548"/>
      <c r="F243" s="549"/>
      <c r="G243" s="156">
        <f>SUM(G244:G264)+G20</f>
        <v>1.8242464583333335</v>
      </c>
    </row>
    <row r="244" spans="3:7" ht="15">
      <c r="C244" s="41" t="s">
        <v>379</v>
      </c>
      <c r="D244" s="163">
        <v>0.06666666666666667</v>
      </c>
      <c r="E244" s="27" t="s">
        <v>284</v>
      </c>
      <c r="F244" s="143">
        <f>'LISTA DE PRODUCTOS'!G34</f>
        <v>7</v>
      </c>
      <c r="G244" s="115">
        <f>D244*F244</f>
        <v>0.4666666666666667</v>
      </c>
    </row>
    <row r="245" spans="3:7" ht="15">
      <c r="C245" s="25" t="s">
        <v>295</v>
      </c>
      <c r="D245" s="27">
        <v>0.1</v>
      </c>
      <c r="E245" s="27" t="s">
        <v>284</v>
      </c>
      <c r="F245" s="143">
        <f>'LISTA DE PRODUCTOS'!$G$7</f>
        <v>0.007040000000000001</v>
      </c>
      <c r="G245" s="115">
        <f aca="true" t="shared" si="8" ref="G245:G263">D245*F245</f>
        <v>0.0007040000000000002</v>
      </c>
    </row>
    <row r="246" spans="3:7" ht="15">
      <c r="C246" s="25" t="s">
        <v>292</v>
      </c>
      <c r="D246" s="27">
        <v>0.1</v>
      </c>
      <c r="E246" s="27" t="s">
        <v>284</v>
      </c>
      <c r="F246" s="143">
        <f>'LISTA DE PRODUCTOS'!$G$8</f>
        <v>0.0055000000000000005</v>
      </c>
      <c r="G246" s="115">
        <f t="shared" si="8"/>
        <v>0.00055</v>
      </c>
    </row>
    <row r="247" spans="3:7" ht="15">
      <c r="C247" s="25" t="s">
        <v>343</v>
      </c>
      <c r="D247" s="27">
        <v>20</v>
      </c>
      <c r="E247" s="27" t="s">
        <v>284</v>
      </c>
      <c r="F247" s="143">
        <f>'LISTA DE PRODUCTOS'!$G$19</f>
        <v>0.006208400000000001</v>
      </c>
      <c r="G247" s="115">
        <f t="shared" si="8"/>
        <v>0.12416800000000003</v>
      </c>
    </row>
    <row r="248" spans="3:7" ht="15">
      <c r="C248" s="27" t="s">
        <v>293</v>
      </c>
      <c r="D248" s="27">
        <v>0.1</v>
      </c>
      <c r="E248" s="27" t="s">
        <v>284</v>
      </c>
      <c r="F248" s="143">
        <f>'LISTA DE PRODUCTOS'!$G$26</f>
        <v>0.0035200000000000006</v>
      </c>
      <c r="G248" s="115">
        <f t="shared" si="8"/>
        <v>0.0003520000000000001</v>
      </c>
    </row>
    <row r="249" spans="3:7" ht="15">
      <c r="C249" s="27" t="s">
        <v>294</v>
      </c>
      <c r="D249" s="27">
        <v>0.1</v>
      </c>
      <c r="E249" s="27" t="s">
        <v>284</v>
      </c>
      <c r="F249" s="141">
        <f>'LISTA DE PRODUCTOS'!$G$53</f>
        <v>0.0074800000000000005</v>
      </c>
      <c r="G249" s="115">
        <f t="shared" si="8"/>
        <v>0.0007480000000000001</v>
      </c>
    </row>
    <row r="250" spans="3:7" ht="15">
      <c r="C250" s="27" t="s">
        <v>291</v>
      </c>
      <c r="D250" s="27">
        <v>0.1</v>
      </c>
      <c r="E250" s="27" t="s">
        <v>284</v>
      </c>
      <c r="F250" s="141">
        <f>'LISTA DE PRODUCTOS'!$G$58</f>
        <v>0.007040000000000001</v>
      </c>
      <c r="G250" s="115">
        <f t="shared" si="8"/>
        <v>0.0007040000000000002</v>
      </c>
    </row>
    <row r="251" spans="3:7" ht="15">
      <c r="C251" s="27" t="s">
        <v>262</v>
      </c>
      <c r="D251" s="27">
        <v>2.27</v>
      </c>
      <c r="E251" s="27" t="s">
        <v>284</v>
      </c>
      <c r="F251" s="141">
        <f>'LISTA DE PRODUCTOS'!$G$59</f>
        <v>0.0015400000000000001</v>
      </c>
      <c r="G251" s="115">
        <f t="shared" si="8"/>
        <v>0.0034958000000000003</v>
      </c>
    </row>
    <row r="252" spans="3:7" ht="15">
      <c r="C252" s="27" t="s">
        <v>430</v>
      </c>
      <c r="D252" s="27">
        <v>4.2</v>
      </c>
      <c r="E252" s="27" t="s">
        <v>284</v>
      </c>
      <c r="F252" s="141">
        <f>'LISTA DE PRODUCTOS'!$G$63</f>
        <v>2.7971428571428573E-05</v>
      </c>
      <c r="G252" s="115">
        <f t="shared" si="8"/>
        <v>0.00011748000000000001</v>
      </c>
    </row>
    <row r="253" spans="3:7" ht="15">
      <c r="C253" s="25"/>
      <c r="D253" s="25"/>
      <c r="E253" s="25"/>
      <c r="F253" s="143"/>
      <c r="G253" s="115"/>
    </row>
    <row r="254" spans="3:7" ht="15">
      <c r="C254" s="41" t="s">
        <v>336</v>
      </c>
      <c r="D254" s="27">
        <v>286.37</v>
      </c>
      <c r="E254" s="27" t="s">
        <v>284</v>
      </c>
      <c r="F254" s="143">
        <f>'LISTA DE PRODUCTOS'!$G$55</f>
        <v>0.0022</v>
      </c>
      <c r="G254" s="115">
        <f t="shared" si="8"/>
        <v>0.6300140000000001</v>
      </c>
    </row>
    <row r="255" spans="3:7" ht="15">
      <c r="C255" s="25" t="s">
        <v>295</v>
      </c>
      <c r="D255" s="25">
        <v>0.1</v>
      </c>
      <c r="E255" s="25" t="s">
        <v>284</v>
      </c>
      <c r="F255" s="143">
        <f>'LISTA DE PRODUCTOS'!$G$7</f>
        <v>0.007040000000000001</v>
      </c>
      <c r="G255" s="115">
        <f t="shared" si="8"/>
        <v>0.0007040000000000002</v>
      </c>
    </row>
    <row r="256" spans="3:7" ht="15">
      <c r="C256" s="25" t="s">
        <v>292</v>
      </c>
      <c r="D256" s="25">
        <v>0.1</v>
      </c>
      <c r="E256" s="25" t="s">
        <v>284</v>
      </c>
      <c r="F256" s="143">
        <f>'LISTA DE PRODUCTOS'!$G$8</f>
        <v>0.0055000000000000005</v>
      </c>
      <c r="G256" s="115">
        <f t="shared" si="8"/>
        <v>0.00055</v>
      </c>
    </row>
    <row r="257" spans="3:7" ht="15">
      <c r="C257" s="25" t="s">
        <v>352</v>
      </c>
      <c r="D257" s="25">
        <v>36.36</v>
      </c>
      <c r="E257" s="25" t="s">
        <v>284</v>
      </c>
      <c r="F257" s="143">
        <f>'LISTA DE PRODUCTOS'!$G$10</f>
        <v>0.0022</v>
      </c>
      <c r="G257" s="115">
        <f t="shared" si="8"/>
        <v>0.07999200000000001</v>
      </c>
    </row>
    <row r="258" spans="3:7" ht="15">
      <c r="C258" s="25" t="s">
        <v>374</v>
      </c>
      <c r="D258" s="25">
        <v>18.18</v>
      </c>
      <c r="E258" s="25" t="s">
        <v>284</v>
      </c>
      <c r="F258" s="141">
        <f>'LISTA DE PRODUCTOS'!$G$12</f>
        <v>0.0006160000000000001</v>
      </c>
      <c r="G258" s="115">
        <f t="shared" si="8"/>
        <v>0.011198880000000001</v>
      </c>
    </row>
    <row r="259" spans="3:7" ht="15">
      <c r="C259" s="25" t="s">
        <v>293</v>
      </c>
      <c r="D259" s="25">
        <v>0.1</v>
      </c>
      <c r="E259" s="25" t="s">
        <v>284</v>
      </c>
      <c r="F259" s="143">
        <f>'LISTA DE PRODUCTOS'!$G$26</f>
        <v>0.0035200000000000006</v>
      </c>
      <c r="G259" s="115">
        <f t="shared" si="8"/>
        <v>0.0003520000000000001</v>
      </c>
    </row>
    <row r="260" spans="3:7" ht="15">
      <c r="C260" s="27" t="s">
        <v>330</v>
      </c>
      <c r="D260" s="25">
        <v>1</v>
      </c>
      <c r="E260" s="25" t="s">
        <v>284</v>
      </c>
      <c r="F260" s="141">
        <f>'LISTA DE PRODUCTOS'!$G$31</f>
        <v>0.10666666666666667</v>
      </c>
      <c r="G260" s="115">
        <f t="shared" si="8"/>
        <v>0.10666666666666667</v>
      </c>
    </row>
    <row r="261" spans="3:7" ht="15">
      <c r="C261" s="27" t="s">
        <v>375</v>
      </c>
      <c r="D261" s="25">
        <v>4.55</v>
      </c>
      <c r="E261" s="25" t="s">
        <v>284</v>
      </c>
      <c r="F261" s="141">
        <f>'LISTA DE PRODUCTOS'!$G$33</f>
        <v>0.0007150000000000001</v>
      </c>
      <c r="G261" s="115">
        <f t="shared" si="8"/>
        <v>0.0032532500000000005</v>
      </c>
    </row>
    <row r="262" spans="3:7" ht="15">
      <c r="C262" s="27" t="s">
        <v>294</v>
      </c>
      <c r="D262" s="27">
        <v>0.1</v>
      </c>
      <c r="E262" s="27" t="s">
        <v>284</v>
      </c>
      <c r="F262" s="141">
        <f>'LISTA DE PRODUCTOS'!$G$53</f>
        <v>0.0074800000000000005</v>
      </c>
      <c r="G262" s="115">
        <f t="shared" si="8"/>
        <v>0.0007480000000000001</v>
      </c>
    </row>
    <row r="263" spans="3:7" ht="15">
      <c r="C263" s="27" t="s">
        <v>291</v>
      </c>
      <c r="D263" s="27">
        <v>0.1</v>
      </c>
      <c r="E263" s="27" t="s">
        <v>284</v>
      </c>
      <c r="F263" s="141">
        <f>'LISTA DE PRODUCTOS'!$G$58</f>
        <v>0.007040000000000001</v>
      </c>
      <c r="G263" s="115">
        <f t="shared" si="8"/>
        <v>0.0007040000000000002</v>
      </c>
    </row>
    <row r="264" spans="3:7" ht="15">
      <c r="C264" s="27" t="s">
        <v>262</v>
      </c>
      <c r="D264" s="27">
        <v>2.27</v>
      </c>
      <c r="E264" s="27" t="s">
        <v>284</v>
      </c>
      <c r="F264" s="141">
        <f>'LISTA DE PRODUCTOS'!$G$59</f>
        <v>0.0015400000000000001</v>
      </c>
      <c r="G264" s="115">
        <f>D264*F264</f>
        <v>0.0034958000000000003</v>
      </c>
    </row>
    <row r="265" spans="3:7" ht="15.75" thickBot="1">
      <c r="C265" s="2"/>
      <c r="D265" s="2"/>
      <c r="E265" s="2"/>
      <c r="F265" s="144"/>
      <c r="G265" s="136"/>
    </row>
    <row r="266" spans="3:7" ht="15.75" thickBot="1">
      <c r="C266" s="135" t="s">
        <v>92</v>
      </c>
      <c r="D266" s="38" t="s">
        <v>185</v>
      </c>
      <c r="E266" s="39"/>
      <c r="F266" s="145" t="s">
        <v>184</v>
      </c>
      <c r="G266" s="76">
        <f>SUM(G267:G272)</f>
        <v>0.32166666666666666</v>
      </c>
    </row>
    <row r="267" spans="3:7" ht="15">
      <c r="C267" s="41" t="s">
        <v>186</v>
      </c>
      <c r="D267" s="40"/>
      <c r="E267" s="40"/>
      <c r="F267" s="143"/>
      <c r="G267" s="115"/>
    </row>
    <row r="268" spans="3:7" ht="15">
      <c r="C268" s="25" t="s">
        <v>140</v>
      </c>
      <c r="D268" s="67">
        <f>'TIEMPO P.P.'!$F$7/'TIEMPO P.P.'!$H$3</f>
        <v>0.096</v>
      </c>
      <c r="E268" s="67"/>
      <c r="F268" s="143">
        <f>IF(DATOS!$I$9&gt;0,(DATOS!$C$4*'TIEMPO P.P.'!$I$3)/240,0)</f>
        <v>0</v>
      </c>
      <c r="G268" s="115">
        <f>D268*F268</f>
        <v>0</v>
      </c>
    </row>
    <row r="269" spans="3:7" ht="15">
      <c r="C269" s="25" t="s">
        <v>78</v>
      </c>
      <c r="D269" s="67">
        <f>'TIEMPO P.P.'!$F$18/'TIEMPO P.P.'!$H$3</f>
        <v>0.07555555555555556</v>
      </c>
      <c r="E269" s="67"/>
      <c r="F269" s="143">
        <f>IF(DATOS!$J$9&gt;0,DATOS!$C$5*'TIEMPO P.P.'!$I$14/240,0)</f>
        <v>0</v>
      </c>
      <c r="G269" s="115">
        <f>F269*D269</f>
        <v>0</v>
      </c>
    </row>
    <row r="270" spans="3:7" ht="15">
      <c r="C270" s="41" t="s">
        <v>187</v>
      </c>
      <c r="D270" s="42"/>
      <c r="E270" s="42"/>
      <c r="F270" s="143"/>
      <c r="G270" s="115"/>
    </row>
    <row r="271" spans="3:7" ht="15">
      <c r="C271" s="27" t="s">
        <v>140</v>
      </c>
      <c r="D271" s="68">
        <f>D268</f>
        <v>0.096</v>
      </c>
      <c r="E271" s="68"/>
      <c r="F271" s="141">
        <f>IF(DATOS!$I$14&gt;0,DATOS!$C$7*'TIEMPO P.P.'!$I$3/8,0)</f>
        <v>1.875</v>
      </c>
      <c r="G271" s="115">
        <f>D271*F271</f>
        <v>0.18</v>
      </c>
    </row>
    <row r="272" spans="3:7" ht="15.75" thickBot="1">
      <c r="C272" s="22" t="s">
        <v>78</v>
      </c>
      <c r="D272" s="71">
        <f>D269</f>
        <v>0.07555555555555556</v>
      </c>
      <c r="E272" s="71"/>
      <c r="F272" s="141">
        <f>IF(DATOS!$J$14&gt;0,DATOS!$C$8*'TIEMPO P.P.'!$I$14/8,0)</f>
        <v>1.875</v>
      </c>
      <c r="G272" s="115">
        <f>D272*F272</f>
        <v>0.14166666666666666</v>
      </c>
    </row>
    <row r="273" spans="3:7" ht="15.75" thickBot="1">
      <c r="C273" s="135" t="s">
        <v>93</v>
      </c>
      <c r="D273" s="38" t="s">
        <v>193</v>
      </c>
      <c r="E273" s="39"/>
      <c r="F273" s="145" t="s">
        <v>198</v>
      </c>
      <c r="G273" s="76">
        <f>SUM(G274:G276)</f>
        <v>0.37888296544312167</v>
      </c>
    </row>
    <row r="274" spans="3:7" ht="15">
      <c r="C274" s="25" t="s">
        <v>191</v>
      </c>
      <c r="D274" s="70">
        <f>('TIEMPO P.P.'!$E$7+'TIEMPO P.P.'!$E$18)/2</f>
        <v>0.32166666666666666</v>
      </c>
      <c r="E274" s="70"/>
      <c r="F274" s="143">
        <f>IF(DATOS!$F$51=0,DATOS!$F$20,DATOS!$F$51)</f>
        <v>1.1778745039682539</v>
      </c>
      <c r="G274" s="115">
        <f>D274*$F$45</f>
        <v>0.37888296544312167</v>
      </c>
    </row>
    <row r="275" spans="3:7" ht="15">
      <c r="C275" s="27" t="s">
        <v>192</v>
      </c>
      <c r="D275" s="69">
        <f>D274</f>
        <v>0.32166666666666666</v>
      </c>
      <c r="E275" s="69"/>
      <c r="F275" s="141">
        <f>DATOS!$F$65/ORDEN!$D$34</f>
        <v>0</v>
      </c>
      <c r="G275" s="115">
        <f>D275*$F$46</f>
        <v>0</v>
      </c>
    </row>
    <row r="276" spans="3:7" ht="15.75" thickBot="1">
      <c r="C276" s="27"/>
      <c r="D276" s="27"/>
      <c r="E276" s="27"/>
      <c r="F276" s="141"/>
      <c r="G276" s="115">
        <f>D276*F276</f>
        <v>0</v>
      </c>
    </row>
    <row r="277" spans="3:7" ht="17.25" thickBot="1" thickTop="1">
      <c r="C277" s="28"/>
      <c r="D277" s="543" t="s">
        <v>94</v>
      </c>
      <c r="E277" s="544"/>
      <c r="F277" s="545"/>
      <c r="G277" s="157">
        <f>G243+G266+G273</f>
        <v>2.524796090443122</v>
      </c>
    </row>
    <row r="278" ht="15.75" thickTop="1"/>
    <row r="280" spans="3:7" ht="19.5" thickBot="1">
      <c r="C280" s="546" t="str">
        <f>PLATOS!D15</f>
        <v>Pollo asado y lomo en salsa
de champiñones</v>
      </c>
      <c r="D280" s="546"/>
      <c r="E280" s="546"/>
      <c r="F280" s="546"/>
      <c r="G280" s="546"/>
    </row>
    <row r="281" spans="4:7" ht="15.75" thickBot="1">
      <c r="D281" s="31" t="s">
        <v>96</v>
      </c>
      <c r="E281" s="31"/>
      <c r="F281" s="146" t="s">
        <v>95</v>
      </c>
      <c r="G281" s="113" t="s">
        <v>97</v>
      </c>
    </row>
    <row r="282" spans="3:7" ht="15.75" thickBot="1">
      <c r="C282" s="547" t="s">
        <v>91</v>
      </c>
      <c r="D282" s="548"/>
      <c r="E282" s="548"/>
      <c r="F282" s="549"/>
      <c r="G282" s="156">
        <f>SUM(G283:G306)+G20</f>
        <v>1.9040826383333331</v>
      </c>
    </row>
    <row r="283" spans="3:7" ht="15">
      <c r="C283" s="41" t="s">
        <v>296</v>
      </c>
      <c r="D283" s="25">
        <v>286.37</v>
      </c>
      <c r="E283" s="25" t="s">
        <v>284</v>
      </c>
      <c r="F283" s="143">
        <f>'LISTA DE PRODUCTOS'!$G$55</f>
        <v>0.0022</v>
      </c>
      <c r="G283" s="115">
        <f>D283*F283</f>
        <v>0.6300140000000001</v>
      </c>
    </row>
    <row r="284" spans="3:7" ht="15">
      <c r="C284" s="25" t="s">
        <v>295</v>
      </c>
      <c r="D284" s="27">
        <v>0.15</v>
      </c>
      <c r="E284" s="27" t="s">
        <v>284</v>
      </c>
      <c r="F284" s="143">
        <f>'LISTA DE PRODUCTOS'!$G$7</f>
        <v>0.007040000000000001</v>
      </c>
      <c r="G284" s="115">
        <f aca="true" t="shared" si="9" ref="G284:G306">D284*F284</f>
        <v>0.001056</v>
      </c>
    </row>
    <row r="285" spans="3:7" ht="15">
      <c r="C285" s="25" t="s">
        <v>380</v>
      </c>
      <c r="D285" s="25">
        <v>2.28</v>
      </c>
      <c r="E285" s="25" t="s">
        <v>284</v>
      </c>
      <c r="F285" s="143">
        <f>'LISTA DE PRODUCTOS'!$G$8</f>
        <v>0.0055000000000000005</v>
      </c>
      <c r="G285" s="115">
        <f t="shared" si="9"/>
        <v>0.01254</v>
      </c>
    </row>
    <row r="286" spans="3:7" ht="15">
      <c r="C286" s="25" t="s">
        <v>275</v>
      </c>
      <c r="D286" s="27">
        <v>0.15</v>
      </c>
      <c r="E286" s="27" t="s">
        <v>284</v>
      </c>
      <c r="F286" s="143">
        <f>'LISTA DE PRODUCTOS'!$G$11</f>
        <v>0.0011</v>
      </c>
      <c r="G286" s="115">
        <f t="shared" si="9"/>
        <v>0.000165</v>
      </c>
    </row>
    <row r="287" spans="3:7" ht="15">
      <c r="C287" s="25" t="s">
        <v>265</v>
      </c>
      <c r="D287" s="27">
        <v>4.55</v>
      </c>
      <c r="E287" s="27" t="s">
        <v>284</v>
      </c>
      <c r="F287" s="143">
        <f>'LISTA DE PRODUCTOS'!$G$18</f>
        <v>0.0014666666666666667</v>
      </c>
      <c r="G287" s="115">
        <f t="shared" si="9"/>
        <v>0.006673333333333333</v>
      </c>
    </row>
    <row r="288" spans="3:7" ht="15">
      <c r="C288" s="25" t="s">
        <v>274</v>
      </c>
      <c r="D288" s="27">
        <v>0.15</v>
      </c>
      <c r="E288" s="27" t="s">
        <v>284</v>
      </c>
      <c r="F288" s="143">
        <f>'LISTA DE PRODUCTOS'!$G$23</f>
        <v>0.0011</v>
      </c>
      <c r="G288" s="115">
        <f t="shared" si="9"/>
        <v>0.000165</v>
      </c>
    </row>
    <row r="289" spans="3:7" ht="15">
      <c r="C289" s="25" t="s">
        <v>293</v>
      </c>
      <c r="D289" s="27">
        <v>0.15</v>
      </c>
      <c r="E289" s="27" t="s">
        <v>284</v>
      </c>
      <c r="F289" s="143">
        <f>'LISTA DE PRODUCTOS'!$G$26</f>
        <v>0.0035200000000000006</v>
      </c>
      <c r="G289" s="115">
        <f t="shared" si="9"/>
        <v>0.000528</v>
      </c>
    </row>
    <row r="290" spans="3:7" ht="15">
      <c r="C290" s="25" t="s">
        <v>277</v>
      </c>
      <c r="D290" s="25">
        <v>0.84</v>
      </c>
      <c r="E290" s="25" t="s">
        <v>284</v>
      </c>
      <c r="F290" s="141">
        <f>'LISTA DE PRODUCTOS'!$G$39</f>
        <v>0.00022275000000000005</v>
      </c>
      <c r="G290" s="115">
        <f t="shared" si="9"/>
        <v>0.00018711000000000004</v>
      </c>
    </row>
    <row r="291" spans="3:7" ht="15">
      <c r="C291" s="25" t="s">
        <v>355</v>
      </c>
      <c r="D291" s="27">
        <v>0.15</v>
      </c>
      <c r="E291" s="27" t="s">
        <v>284</v>
      </c>
      <c r="F291" s="143">
        <f>'LISTA DE PRODUCTOS'!$G$48</f>
        <v>0.0033000000000000004</v>
      </c>
      <c r="G291" s="115">
        <f t="shared" si="9"/>
        <v>0.000495</v>
      </c>
    </row>
    <row r="292" spans="3:7" ht="15">
      <c r="C292" s="25" t="s">
        <v>294</v>
      </c>
      <c r="D292" s="27">
        <v>0.15</v>
      </c>
      <c r="E292" s="27" t="s">
        <v>284</v>
      </c>
      <c r="F292" s="141">
        <f>'LISTA DE PRODUCTOS'!$G$53</f>
        <v>0.0074800000000000005</v>
      </c>
      <c r="G292" s="115">
        <f t="shared" si="9"/>
        <v>0.001122</v>
      </c>
    </row>
    <row r="293" spans="3:7" ht="15">
      <c r="C293" s="25" t="s">
        <v>381</v>
      </c>
      <c r="D293" s="27">
        <v>4.55</v>
      </c>
      <c r="E293" s="27" t="s">
        <v>284</v>
      </c>
      <c r="F293" s="141">
        <f>'LISTA DE PRODUCTOS'!$G$54</f>
        <v>0.0055000000000000005</v>
      </c>
      <c r="G293" s="115">
        <f t="shared" si="9"/>
        <v>0.025025000000000002</v>
      </c>
    </row>
    <row r="294" spans="3:7" ht="15">
      <c r="C294" s="27" t="s">
        <v>291</v>
      </c>
      <c r="D294" s="27">
        <v>0.15</v>
      </c>
      <c r="E294" s="27" t="s">
        <v>284</v>
      </c>
      <c r="F294" s="141">
        <f>'LISTA DE PRODUCTOS'!$G$58</f>
        <v>0.007040000000000001</v>
      </c>
      <c r="G294" s="115">
        <f t="shared" si="9"/>
        <v>0.001056</v>
      </c>
    </row>
    <row r="295" spans="3:7" ht="15">
      <c r="C295" s="27" t="s">
        <v>262</v>
      </c>
      <c r="D295" s="27">
        <v>0.75</v>
      </c>
      <c r="E295" s="27" t="s">
        <v>284</v>
      </c>
      <c r="F295" s="141">
        <f>'LISTA DE PRODUCTOS'!$G$59</f>
        <v>0.0015400000000000001</v>
      </c>
      <c r="G295" s="115">
        <f t="shared" si="9"/>
        <v>0.0011550000000000002</v>
      </c>
    </row>
    <row r="296" spans="3:7" ht="15">
      <c r="C296" s="27" t="s">
        <v>276</v>
      </c>
      <c r="D296" s="27"/>
      <c r="E296" s="27"/>
      <c r="F296" s="141">
        <f>'LISTA DE PRODUCTOS'!$G$62</f>
        <v>0.013200000000000002</v>
      </c>
      <c r="G296" s="115">
        <f t="shared" si="9"/>
        <v>0</v>
      </c>
    </row>
    <row r="297" spans="3:7" ht="15">
      <c r="C297" s="27"/>
      <c r="D297" s="27"/>
      <c r="E297" s="27"/>
      <c r="F297" s="141"/>
      <c r="G297" s="115"/>
    </row>
    <row r="298" spans="3:7" ht="15">
      <c r="C298" s="41" t="s">
        <v>369</v>
      </c>
      <c r="D298" s="27">
        <v>160</v>
      </c>
      <c r="E298" s="27" t="s">
        <v>284</v>
      </c>
      <c r="F298" s="143">
        <f>'LISTA DE PRODUCTOS'!$G$38</f>
        <v>0.0044</v>
      </c>
      <c r="G298" s="115">
        <f t="shared" si="9"/>
        <v>0.7040000000000001</v>
      </c>
    </row>
    <row r="299" spans="3:7" ht="15">
      <c r="C299" s="25" t="s">
        <v>295</v>
      </c>
      <c r="D299" s="27">
        <v>0.1</v>
      </c>
      <c r="E299" s="27" t="s">
        <v>284</v>
      </c>
      <c r="F299" s="143">
        <f>'LISTA DE PRODUCTOS'!$G$7</f>
        <v>0.007040000000000001</v>
      </c>
      <c r="G299" s="115">
        <f t="shared" si="9"/>
        <v>0.0007040000000000002</v>
      </c>
    </row>
    <row r="300" spans="3:7" ht="15">
      <c r="C300" s="25" t="s">
        <v>292</v>
      </c>
      <c r="D300" s="27">
        <v>0.1</v>
      </c>
      <c r="E300" s="27" t="s">
        <v>284</v>
      </c>
      <c r="F300" s="143">
        <f>'LISTA DE PRODUCTOS'!$G$8</f>
        <v>0.0055000000000000005</v>
      </c>
      <c r="G300" s="115">
        <f t="shared" si="9"/>
        <v>0.00055</v>
      </c>
    </row>
    <row r="301" spans="3:7" ht="15">
      <c r="C301" s="25" t="s">
        <v>343</v>
      </c>
      <c r="D301" s="27">
        <v>20</v>
      </c>
      <c r="E301" s="27" t="s">
        <v>284</v>
      </c>
      <c r="F301" s="143">
        <f>'LISTA DE PRODUCTOS'!$G$19</f>
        <v>0.006208400000000001</v>
      </c>
      <c r="G301" s="115">
        <f t="shared" si="9"/>
        <v>0.12416800000000003</v>
      </c>
    </row>
    <row r="302" spans="3:7" ht="15">
      <c r="C302" s="25" t="s">
        <v>293</v>
      </c>
      <c r="D302" s="27">
        <v>0.1</v>
      </c>
      <c r="E302" s="27" t="s">
        <v>284</v>
      </c>
      <c r="F302" s="143">
        <f>'LISTA DE PRODUCTOS'!$G$26</f>
        <v>0.0035200000000000006</v>
      </c>
      <c r="G302" s="115">
        <f t="shared" si="9"/>
        <v>0.0003520000000000001</v>
      </c>
    </row>
    <row r="303" spans="3:7" ht="15">
      <c r="C303" s="25" t="s">
        <v>294</v>
      </c>
      <c r="D303" s="27">
        <v>0.1</v>
      </c>
      <c r="E303" s="27" t="s">
        <v>284</v>
      </c>
      <c r="F303" s="141">
        <f>'LISTA DE PRODUCTOS'!$G$53</f>
        <v>0.0074800000000000005</v>
      </c>
      <c r="G303" s="115">
        <f t="shared" si="9"/>
        <v>0.0007480000000000001</v>
      </c>
    </row>
    <row r="304" spans="3:7" ht="15">
      <c r="C304" s="25" t="s">
        <v>291</v>
      </c>
      <c r="D304" s="27">
        <v>0.1</v>
      </c>
      <c r="E304" s="27" t="s">
        <v>284</v>
      </c>
      <c r="F304" s="141">
        <f>'LISTA DE PRODUCTOS'!$G$58</f>
        <v>0.007040000000000001</v>
      </c>
      <c r="G304" s="115">
        <f t="shared" si="9"/>
        <v>0.0007040000000000002</v>
      </c>
    </row>
    <row r="305" spans="3:7" ht="15">
      <c r="C305" s="25" t="s">
        <v>262</v>
      </c>
      <c r="D305" s="27">
        <v>2.27</v>
      </c>
      <c r="E305" s="27" t="s">
        <v>284</v>
      </c>
      <c r="F305" s="141">
        <f>'LISTA DE PRODUCTOS'!$G$59</f>
        <v>0.0015400000000000001</v>
      </c>
      <c r="G305" s="115">
        <f t="shared" si="9"/>
        <v>0.0034958000000000003</v>
      </c>
    </row>
    <row r="306" spans="3:7" ht="15">
      <c r="C306" s="25" t="s">
        <v>430</v>
      </c>
      <c r="D306" s="27">
        <v>4.2</v>
      </c>
      <c r="E306" s="27" t="s">
        <v>284</v>
      </c>
      <c r="F306" s="141">
        <f>'LISTA DE PRODUCTOS'!$G$63</f>
        <v>2.7971428571428573E-05</v>
      </c>
      <c r="G306" s="115">
        <f t="shared" si="9"/>
        <v>0.00011748000000000001</v>
      </c>
    </row>
    <row r="307" spans="3:7" ht="15.75" thickBot="1">
      <c r="C307" s="2"/>
      <c r="D307" s="2"/>
      <c r="E307" s="2"/>
      <c r="F307" s="144"/>
      <c r="G307" s="136"/>
    </row>
    <row r="308" spans="3:7" ht="15.75" thickBot="1">
      <c r="C308" s="135" t="s">
        <v>92</v>
      </c>
      <c r="D308" s="38" t="s">
        <v>185</v>
      </c>
      <c r="E308" s="39"/>
      <c r="F308" s="145" t="s">
        <v>184</v>
      </c>
      <c r="G308" s="76">
        <f>SUM(G309:G314)</f>
        <v>0.32166666666666666</v>
      </c>
    </row>
    <row r="309" spans="3:7" ht="15">
      <c r="C309" s="41" t="s">
        <v>186</v>
      </c>
      <c r="D309" s="40"/>
      <c r="E309" s="40"/>
      <c r="F309" s="143"/>
      <c r="G309" s="115"/>
    </row>
    <row r="310" spans="3:7" ht="15">
      <c r="C310" s="25" t="s">
        <v>140</v>
      </c>
      <c r="D310" s="67">
        <f>'TIEMPO P.P.'!$F$7/'TIEMPO P.P.'!$H$3</f>
        <v>0.096</v>
      </c>
      <c r="E310" s="67"/>
      <c r="F310" s="143">
        <f>IF(DATOS!$I$9&gt;0,(DATOS!$C$4*'TIEMPO P.P.'!$I$3)/240,0)</f>
        <v>0</v>
      </c>
      <c r="G310" s="115">
        <f>D310*F310</f>
        <v>0</v>
      </c>
    </row>
    <row r="311" spans="3:7" ht="15">
      <c r="C311" s="25" t="s">
        <v>78</v>
      </c>
      <c r="D311" s="67">
        <f>'TIEMPO P.P.'!$F$18/'TIEMPO P.P.'!$H$3</f>
        <v>0.07555555555555556</v>
      </c>
      <c r="E311" s="67"/>
      <c r="F311" s="143">
        <f>IF(DATOS!$J$9&gt;0,DATOS!$C$5*'TIEMPO P.P.'!$I$14/240,0)</f>
        <v>0</v>
      </c>
      <c r="G311" s="115">
        <f>F311*D311</f>
        <v>0</v>
      </c>
    </row>
    <row r="312" spans="3:7" ht="15">
      <c r="C312" s="41" t="s">
        <v>187</v>
      </c>
      <c r="D312" s="42"/>
      <c r="E312" s="42"/>
      <c r="F312" s="143"/>
      <c r="G312" s="115"/>
    </row>
    <row r="313" spans="3:7" ht="15">
      <c r="C313" s="27" t="s">
        <v>140</v>
      </c>
      <c r="D313" s="68">
        <f>D310</f>
        <v>0.096</v>
      </c>
      <c r="E313" s="68"/>
      <c r="F313" s="141">
        <f>IF(DATOS!$I$14&gt;0,DATOS!$C$7*'TIEMPO P.P.'!$I$3/8,0)</f>
        <v>1.875</v>
      </c>
      <c r="G313" s="115">
        <f>D313*F313</f>
        <v>0.18</v>
      </c>
    </row>
    <row r="314" spans="3:7" ht="15.75" thickBot="1">
      <c r="C314" s="22" t="s">
        <v>78</v>
      </c>
      <c r="D314" s="71">
        <f>D311</f>
        <v>0.07555555555555556</v>
      </c>
      <c r="E314" s="71"/>
      <c r="F314" s="141">
        <f>IF(DATOS!$J$14&gt;0,DATOS!$C$8*'TIEMPO P.P.'!$I$14/8,0)</f>
        <v>1.875</v>
      </c>
      <c r="G314" s="115">
        <f>D314*F314</f>
        <v>0.14166666666666666</v>
      </c>
    </row>
    <row r="315" spans="3:7" ht="15.75" thickBot="1">
      <c r="C315" s="135" t="s">
        <v>93</v>
      </c>
      <c r="D315" s="38" t="s">
        <v>193</v>
      </c>
      <c r="E315" s="39"/>
      <c r="F315" s="145" t="s">
        <v>198</v>
      </c>
      <c r="G315" s="76">
        <f>SUM(G316:G318)</f>
        <v>0.37888296544312167</v>
      </c>
    </row>
    <row r="316" spans="3:7" ht="15">
      <c r="C316" s="25" t="s">
        <v>191</v>
      </c>
      <c r="D316" s="70">
        <f>('TIEMPO P.P.'!$E$7+'TIEMPO P.P.'!$E$18)/2</f>
        <v>0.32166666666666666</v>
      </c>
      <c r="E316" s="70"/>
      <c r="F316" s="143">
        <f>IF(DATOS!$F$51=0,DATOS!$F$20,DATOS!$F$51)</f>
        <v>1.1778745039682539</v>
      </c>
      <c r="G316" s="115">
        <f>D316*$F$45</f>
        <v>0.37888296544312167</v>
      </c>
    </row>
    <row r="317" spans="3:7" ht="15">
      <c r="C317" s="27" t="s">
        <v>192</v>
      </c>
      <c r="D317" s="69">
        <f>D316</f>
        <v>0.32166666666666666</v>
      </c>
      <c r="E317" s="69"/>
      <c r="F317" s="141">
        <f>DATOS!$F$65/ORDEN!$D$34</f>
        <v>0</v>
      </c>
      <c r="G317" s="115">
        <f>D317*$F$46</f>
        <v>0</v>
      </c>
    </row>
    <row r="318" spans="3:7" ht="15.75" thickBot="1">
      <c r="C318" s="27"/>
      <c r="D318" s="27"/>
      <c r="E318" s="27"/>
      <c r="F318" s="141"/>
      <c r="G318" s="115">
        <f>D318*F318</f>
        <v>0</v>
      </c>
    </row>
    <row r="319" spans="3:7" ht="17.25" thickBot="1" thickTop="1">
      <c r="C319" s="28"/>
      <c r="D319" s="543" t="s">
        <v>94</v>
      </c>
      <c r="E319" s="544"/>
      <c r="F319" s="545"/>
      <c r="G319" s="157">
        <f>G282+G308+G315</f>
        <v>2.6046322704431217</v>
      </c>
    </row>
    <row r="320" ht="15.75" thickTop="1"/>
    <row r="323" spans="3:7" ht="19.5" thickBot="1">
      <c r="C323" s="546" t="str">
        <f>PLATOS!D16</f>
        <v>Pollo con champiñones y 
chuleta a la Plancha</v>
      </c>
      <c r="D323" s="546"/>
      <c r="E323" s="546"/>
      <c r="F323" s="546"/>
      <c r="G323" s="546"/>
    </row>
    <row r="324" spans="4:7" ht="15.75" thickBot="1">
      <c r="D324" s="31" t="s">
        <v>96</v>
      </c>
      <c r="E324" s="31"/>
      <c r="F324" s="146" t="s">
        <v>95</v>
      </c>
      <c r="G324" s="113" t="s">
        <v>97</v>
      </c>
    </row>
    <row r="325" spans="3:7" ht="15.75" thickBot="1">
      <c r="C325" s="547" t="s">
        <v>91</v>
      </c>
      <c r="D325" s="548"/>
      <c r="E325" s="548"/>
      <c r="F325" s="549"/>
      <c r="G325" s="160">
        <f>SUM(G326:G343)+G20</f>
        <v>1.1579704950000005</v>
      </c>
    </row>
    <row r="326" spans="3:7" ht="15">
      <c r="C326" s="41" t="s">
        <v>296</v>
      </c>
      <c r="D326" s="27">
        <v>286.37</v>
      </c>
      <c r="E326" s="27" t="s">
        <v>284</v>
      </c>
      <c r="F326" s="143">
        <f>'LISTA DE PRODUCTOS'!$G$55</f>
        <v>0.0022</v>
      </c>
      <c r="G326" s="115">
        <f aca="true" t="shared" si="10" ref="G326:G343">D326*F326</f>
        <v>0.6300140000000001</v>
      </c>
    </row>
    <row r="327" spans="3:7" ht="15">
      <c r="C327" s="25" t="s">
        <v>295</v>
      </c>
      <c r="D327" s="27">
        <v>0.1</v>
      </c>
      <c r="E327" s="27" t="s">
        <v>284</v>
      </c>
      <c r="F327" s="143">
        <f>'LISTA DE PRODUCTOS'!$G$7</f>
        <v>0.007040000000000001</v>
      </c>
      <c r="G327" s="115">
        <f t="shared" si="10"/>
        <v>0.0007040000000000002</v>
      </c>
    </row>
    <row r="328" spans="3:7" ht="15">
      <c r="C328" s="25" t="s">
        <v>292</v>
      </c>
      <c r="D328" s="27">
        <v>0.1</v>
      </c>
      <c r="E328" s="27" t="s">
        <v>284</v>
      </c>
      <c r="F328" s="143">
        <f>'LISTA DE PRODUCTOS'!$G$8</f>
        <v>0.0055000000000000005</v>
      </c>
      <c r="G328" s="115">
        <f t="shared" si="10"/>
        <v>0.00055</v>
      </c>
    </row>
    <row r="329" spans="3:7" ht="15">
      <c r="C329" s="25" t="s">
        <v>343</v>
      </c>
      <c r="D329" s="27">
        <v>20</v>
      </c>
      <c r="E329" s="27" t="s">
        <v>284</v>
      </c>
      <c r="F329" s="143">
        <f>'LISTA DE PRODUCTOS'!$G$19</f>
        <v>0.006208400000000001</v>
      </c>
      <c r="G329" s="115">
        <f t="shared" si="10"/>
        <v>0.12416800000000003</v>
      </c>
    </row>
    <row r="330" spans="3:7" ht="15">
      <c r="C330" s="25" t="s">
        <v>293</v>
      </c>
      <c r="D330" s="27">
        <v>0.1</v>
      </c>
      <c r="E330" s="27" t="s">
        <v>284</v>
      </c>
      <c r="F330" s="143">
        <f>'LISTA DE PRODUCTOS'!$G$26</f>
        <v>0.0035200000000000006</v>
      </c>
      <c r="G330" s="115">
        <f t="shared" si="10"/>
        <v>0.0003520000000000001</v>
      </c>
    </row>
    <row r="331" spans="3:7" ht="15">
      <c r="C331" s="25" t="s">
        <v>294</v>
      </c>
      <c r="D331" s="27">
        <v>0.1</v>
      </c>
      <c r="E331" s="27" t="s">
        <v>284</v>
      </c>
      <c r="F331" s="141">
        <f>'LISTA DE PRODUCTOS'!$G$53</f>
        <v>0.0074800000000000005</v>
      </c>
      <c r="G331" s="115">
        <f t="shared" si="10"/>
        <v>0.0007480000000000001</v>
      </c>
    </row>
    <row r="332" spans="3:7" ht="15">
      <c r="C332" s="25" t="s">
        <v>291</v>
      </c>
      <c r="D332" s="27">
        <v>0.1</v>
      </c>
      <c r="E332" s="27" t="s">
        <v>284</v>
      </c>
      <c r="F332" s="141">
        <f>'LISTA DE PRODUCTOS'!$G$58</f>
        <v>0.007040000000000001</v>
      </c>
      <c r="G332" s="115">
        <f t="shared" si="10"/>
        <v>0.0007040000000000002</v>
      </c>
    </row>
    <row r="333" spans="3:7" ht="15">
      <c r="C333" s="25" t="s">
        <v>262</v>
      </c>
      <c r="D333" s="27">
        <v>2.27</v>
      </c>
      <c r="E333" s="27" t="s">
        <v>284</v>
      </c>
      <c r="F333" s="141">
        <f>'LISTA DE PRODUCTOS'!$G$59</f>
        <v>0.0015400000000000001</v>
      </c>
      <c r="G333" s="115">
        <f t="shared" si="10"/>
        <v>0.0034958000000000003</v>
      </c>
    </row>
    <row r="334" spans="3:7" ht="15">
      <c r="C334" s="25" t="s">
        <v>430</v>
      </c>
      <c r="D334" s="27">
        <v>4.2</v>
      </c>
      <c r="E334" s="27" t="s">
        <v>284</v>
      </c>
      <c r="F334" s="141">
        <f>'LISTA DE PRODUCTOS'!$G$63</f>
        <v>2.7971428571428573E-05</v>
      </c>
      <c r="G334" s="115">
        <f t="shared" si="10"/>
        <v>0.00011748000000000001</v>
      </c>
    </row>
    <row r="335" spans="3:7" ht="15">
      <c r="C335" s="25"/>
      <c r="D335" s="25"/>
      <c r="E335" s="25"/>
      <c r="F335" s="143"/>
      <c r="G335" s="115">
        <f t="shared" si="10"/>
        <v>0</v>
      </c>
    </row>
    <row r="336" spans="3:7" ht="15">
      <c r="C336" s="41" t="s">
        <v>297</v>
      </c>
      <c r="D336" s="25"/>
      <c r="E336" s="25"/>
      <c r="F336" s="143"/>
      <c r="G336" s="115"/>
    </row>
    <row r="337" spans="3:7" ht="15">
      <c r="C337" s="25" t="s">
        <v>263</v>
      </c>
      <c r="D337" s="25">
        <v>4.55</v>
      </c>
      <c r="E337" s="25" t="s">
        <v>284</v>
      </c>
      <c r="F337" s="143">
        <f>'LISTA DE PRODUCTOS'!$G$3</f>
        <v>0.00033</v>
      </c>
      <c r="G337" s="115">
        <f t="shared" si="10"/>
        <v>0.0015015</v>
      </c>
    </row>
    <row r="338" spans="3:7" ht="15">
      <c r="C338" s="25" t="s">
        <v>295</v>
      </c>
      <c r="D338" s="25">
        <v>0.1</v>
      </c>
      <c r="E338" s="25" t="s">
        <v>284</v>
      </c>
      <c r="F338" s="143">
        <f>'LISTA DE PRODUCTOS'!$G$7</f>
        <v>0.007040000000000001</v>
      </c>
      <c r="G338" s="115">
        <f t="shared" si="10"/>
        <v>0.0007040000000000002</v>
      </c>
    </row>
    <row r="339" spans="3:7" ht="15">
      <c r="C339" s="25" t="s">
        <v>292</v>
      </c>
      <c r="D339" s="25">
        <v>0.1</v>
      </c>
      <c r="E339" s="25" t="s">
        <v>284</v>
      </c>
      <c r="F339" s="143">
        <f>'LISTA DE PRODUCTOS'!$G$8</f>
        <v>0.0055000000000000005</v>
      </c>
      <c r="G339" s="115">
        <f t="shared" si="10"/>
        <v>0.00055</v>
      </c>
    </row>
    <row r="340" spans="3:7" ht="15">
      <c r="C340" s="25" t="s">
        <v>293</v>
      </c>
      <c r="D340" s="25">
        <v>0.1</v>
      </c>
      <c r="E340" s="25" t="s">
        <v>284</v>
      </c>
      <c r="F340" s="143">
        <f>'LISTA DE PRODUCTOS'!$G$26</f>
        <v>0.0035200000000000006</v>
      </c>
      <c r="G340" s="115">
        <f t="shared" si="10"/>
        <v>0.0003520000000000001</v>
      </c>
    </row>
    <row r="341" spans="3:7" ht="15">
      <c r="C341" s="25" t="s">
        <v>294</v>
      </c>
      <c r="D341" s="25">
        <v>0.1</v>
      </c>
      <c r="E341" s="25" t="s">
        <v>284</v>
      </c>
      <c r="F341" s="141">
        <f>'LISTA DE PRODUCTOS'!$G$53</f>
        <v>0.0074800000000000005</v>
      </c>
      <c r="G341" s="115">
        <f t="shared" si="10"/>
        <v>0.0007480000000000001</v>
      </c>
    </row>
    <row r="342" spans="3:7" ht="15">
      <c r="C342" s="25" t="s">
        <v>291</v>
      </c>
      <c r="D342" s="25">
        <v>0.1</v>
      </c>
      <c r="E342" s="27" t="s">
        <v>284</v>
      </c>
      <c r="F342" s="141">
        <f>'LISTA DE PRODUCTOS'!$G$58</f>
        <v>0.007040000000000001</v>
      </c>
      <c r="G342" s="115">
        <f t="shared" si="10"/>
        <v>0.0007040000000000002</v>
      </c>
    </row>
    <row r="343" spans="3:7" ht="15">
      <c r="C343" s="25" t="s">
        <v>262</v>
      </c>
      <c r="D343" s="27">
        <v>2.27</v>
      </c>
      <c r="E343" s="27" t="s">
        <v>284</v>
      </c>
      <c r="F343" s="141">
        <f>'LISTA DE PRODUCTOS'!$G$59</f>
        <v>0.0015400000000000001</v>
      </c>
      <c r="G343" s="115">
        <f t="shared" si="10"/>
        <v>0.0034958000000000003</v>
      </c>
    </row>
    <row r="344" spans="3:7" ht="15.75" thickBot="1">
      <c r="C344" s="2"/>
      <c r="D344" s="2"/>
      <c r="E344" s="2"/>
      <c r="F344" s="144"/>
      <c r="G344" s="136"/>
    </row>
    <row r="345" spans="3:7" ht="15.75" thickBot="1">
      <c r="C345" s="135" t="s">
        <v>92</v>
      </c>
      <c r="D345" s="38" t="s">
        <v>185</v>
      </c>
      <c r="E345" s="39"/>
      <c r="F345" s="145" t="s">
        <v>184</v>
      </c>
      <c r="G345" s="76">
        <f>SUM(G346:G351)</f>
        <v>0.32166666666666666</v>
      </c>
    </row>
    <row r="346" spans="3:7" ht="15">
      <c r="C346" s="41" t="s">
        <v>186</v>
      </c>
      <c r="D346" s="40"/>
      <c r="E346" s="40"/>
      <c r="F346" s="143"/>
      <c r="G346" s="115"/>
    </row>
    <row r="347" spans="3:7" ht="15">
      <c r="C347" s="25" t="s">
        <v>140</v>
      </c>
      <c r="D347" s="67">
        <f>'TIEMPO P.P.'!$F$7/'TIEMPO P.P.'!$H$3</f>
        <v>0.096</v>
      </c>
      <c r="E347" s="67"/>
      <c r="F347" s="143">
        <f>IF(DATOS!$I$9&gt;0,(DATOS!$C$4*'TIEMPO P.P.'!$I$3)/240,0)</f>
        <v>0</v>
      </c>
      <c r="G347" s="115">
        <f>D347*F347</f>
        <v>0</v>
      </c>
    </row>
    <row r="348" spans="3:7" ht="15">
      <c r="C348" s="25" t="s">
        <v>78</v>
      </c>
      <c r="D348" s="67">
        <f>'TIEMPO P.P.'!$F$18/'TIEMPO P.P.'!$H$3</f>
        <v>0.07555555555555556</v>
      </c>
      <c r="E348" s="67"/>
      <c r="F348" s="143">
        <f>IF(DATOS!$J$9&gt;0,DATOS!$C$5*'TIEMPO P.P.'!$I$14/240,0)</f>
        <v>0</v>
      </c>
      <c r="G348" s="115">
        <f>F348*D348</f>
        <v>0</v>
      </c>
    </row>
    <row r="349" spans="3:7" ht="15">
      <c r="C349" s="41" t="s">
        <v>187</v>
      </c>
      <c r="D349" s="42"/>
      <c r="E349" s="42"/>
      <c r="F349" s="143"/>
      <c r="G349" s="115"/>
    </row>
    <row r="350" spans="3:7" ht="15">
      <c r="C350" s="27" t="s">
        <v>140</v>
      </c>
      <c r="D350" s="68">
        <f>D347</f>
        <v>0.096</v>
      </c>
      <c r="E350" s="68"/>
      <c r="F350" s="141">
        <f>IF(DATOS!$I$14&gt;0,DATOS!$C$7*'TIEMPO P.P.'!$I$3/8,0)</f>
        <v>1.875</v>
      </c>
      <c r="G350" s="115">
        <f>D350*F350</f>
        <v>0.18</v>
      </c>
    </row>
    <row r="351" spans="3:7" ht="15.75" thickBot="1">
      <c r="C351" s="22" t="s">
        <v>78</v>
      </c>
      <c r="D351" s="71">
        <f>D348</f>
        <v>0.07555555555555556</v>
      </c>
      <c r="E351" s="71"/>
      <c r="F351" s="141">
        <f>IF(DATOS!$J$14&gt;0,DATOS!$C$8*'TIEMPO P.P.'!$I$14/8,0)</f>
        <v>1.875</v>
      </c>
      <c r="G351" s="115">
        <f>D351*F351</f>
        <v>0.14166666666666666</v>
      </c>
    </row>
    <row r="352" spans="3:7" ht="15.75" thickBot="1">
      <c r="C352" s="135" t="s">
        <v>93</v>
      </c>
      <c r="D352" s="38" t="s">
        <v>193</v>
      </c>
      <c r="E352" s="39"/>
      <c r="F352" s="145" t="s">
        <v>198</v>
      </c>
      <c r="G352" s="76">
        <f>SUM(G353:G355)</f>
        <v>0.37888296544312167</v>
      </c>
    </row>
    <row r="353" spans="3:7" ht="15">
      <c r="C353" s="25" t="s">
        <v>191</v>
      </c>
      <c r="D353" s="70">
        <f>('TIEMPO P.P.'!$E$7+'TIEMPO P.P.'!$E$18)/2</f>
        <v>0.32166666666666666</v>
      </c>
      <c r="E353" s="70"/>
      <c r="F353" s="143">
        <f>IF(DATOS!$F$51=0,DATOS!$F$20,DATOS!$F$51)</f>
        <v>1.1778745039682539</v>
      </c>
      <c r="G353" s="115">
        <f>D353*$F$45</f>
        <v>0.37888296544312167</v>
      </c>
    </row>
    <row r="354" spans="3:7" ht="15">
      <c r="C354" s="27" t="s">
        <v>192</v>
      </c>
      <c r="D354" s="69">
        <f>D353</f>
        <v>0.32166666666666666</v>
      </c>
      <c r="E354" s="69"/>
      <c r="F354" s="141">
        <f>DATOS!$F$65/ORDEN!$D$34</f>
        <v>0</v>
      </c>
      <c r="G354" s="115">
        <f>D354*$F$46</f>
        <v>0</v>
      </c>
    </row>
    <row r="355" spans="3:7" ht="15.75" thickBot="1">
      <c r="C355" s="27"/>
      <c r="D355" s="27"/>
      <c r="E355" s="27"/>
      <c r="F355" s="141"/>
      <c r="G355" s="115">
        <f>D355*F355</f>
        <v>0</v>
      </c>
    </row>
    <row r="356" spans="3:7" ht="17.25" thickBot="1" thickTop="1">
      <c r="C356" s="28"/>
      <c r="D356" s="543" t="s">
        <v>94</v>
      </c>
      <c r="E356" s="544"/>
      <c r="F356" s="545"/>
      <c r="G356" s="157">
        <f>G325+G345+G352</f>
        <v>1.8585201271097886</v>
      </c>
    </row>
    <row r="357" ht="15.75" thickTop="1"/>
    <row r="359" spans="3:7" ht="19.5" thickBot="1">
      <c r="C359" s="546" t="str">
        <f>PLATOS!D17</f>
        <v>Lomo con champiñones y 
pollo  a la plancha</v>
      </c>
      <c r="D359" s="546"/>
      <c r="E359" s="546"/>
      <c r="F359" s="546"/>
      <c r="G359" s="546"/>
    </row>
    <row r="360" spans="4:7" ht="15.75" thickBot="1">
      <c r="D360" s="31" t="s">
        <v>96</v>
      </c>
      <c r="E360" s="31"/>
      <c r="F360" s="146" t="s">
        <v>95</v>
      </c>
      <c r="G360" s="113" t="s">
        <v>97</v>
      </c>
    </row>
    <row r="361" spans="3:7" ht="15.75" thickBot="1">
      <c r="C361" s="547" t="s">
        <v>91</v>
      </c>
      <c r="D361" s="548"/>
      <c r="E361" s="548"/>
      <c r="F361" s="549"/>
      <c r="G361" s="156">
        <f>SUM(G362:G379)+G20</f>
        <v>1.6719564950000003</v>
      </c>
    </row>
    <row r="362" spans="3:7" ht="15">
      <c r="C362" s="41" t="s">
        <v>369</v>
      </c>
      <c r="D362" s="25">
        <v>160</v>
      </c>
      <c r="E362" s="25" t="s">
        <v>284</v>
      </c>
      <c r="F362" s="143">
        <f>'LISTA DE PRODUCTOS'!$G$38</f>
        <v>0.0044</v>
      </c>
      <c r="G362" s="115">
        <f aca="true" t="shared" si="11" ref="G362:G368">D362*F362</f>
        <v>0.7040000000000001</v>
      </c>
    </row>
    <row r="363" spans="3:7" ht="15">
      <c r="C363" s="25" t="s">
        <v>295</v>
      </c>
      <c r="D363" s="27">
        <v>0.1</v>
      </c>
      <c r="E363" s="27" t="s">
        <v>284</v>
      </c>
      <c r="F363" s="143">
        <f>'LISTA DE PRODUCTOS'!$G$7</f>
        <v>0.007040000000000001</v>
      </c>
      <c r="G363" s="115">
        <f t="shared" si="11"/>
        <v>0.0007040000000000002</v>
      </c>
    </row>
    <row r="364" spans="3:7" ht="15">
      <c r="C364" s="25" t="s">
        <v>292</v>
      </c>
      <c r="D364" s="27">
        <v>0.1</v>
      </c>
      <c r="E364" s="27" t="s">
        <v>284</v>
      </c>
      <c r="F364" s="143">
        <f>'LISTA DE PRODUCTOS'!$G$8</f>
        <v>0.0055000000000000005</v>
      </c>
      <c r="G364" s="115">
        <f t="shared" si="11"/>
        <v>0.00055</v>
      </c>
    </row>
    <row r="365" spans="3:7" ht="15">
      <c r="C365" s="25" t="s">
        <v>343</v>
      </c>
      <c r="D365" s="27">
        <v>20</v>
      </c>
      <c r="E365" s="27" t="s">
        <v>284</v>
      </c>
      <c r="F365" s="143">
        <f>'LISTA DE PRODUCTOS'!$G$19</f>
        <v>0.006208400000000001</v>
      </c>
      <c r="G365" s="115">
        <f t="shared" si="11"/>
        <v>0.12416800000000003</v>
      </c>
    </row>
    <row r="366" spans="3:7" ht="15">
      <c r="C366" s="25" t="s">
        <v>293</v>
      </c>
      <c r="D366" s="27">
        <v>0.1</v>
      </c>
      <c r="E366" s="27" t="s">
        <v>284</v>
      </c>
      <c r="F366" s="143">
        <f>'LISTA DE PRODUCTOS'!$G$26</f>
        <v>0.0035200000000000006</v>
      </c>
      <c r="G366" s="115">
        <f t="shared" si="11"/>
        <v>0.0003520000000000001</v>
      </c>
    </row>
    <row r="367" spans="3:7" ht="15">
      <c r="C367" s="25" t="s">
        <v>294</v>
      </c>
      <c r="D367" s="27">
        <v>0.1</v>
      </c>
      <c r="E367" s="27" t="s">
        <v>284</v>
      </c>
      <c r="F367" s="141">
        <f>'LISTA DE PRODUCTOS'!$G$53</f>
        <v>0.0074800000000000005</v>
      </c>
      <c r="G367" s="115">
        <f t="shared" si="11"/>
        <v>0.0007480000000000001</v>
      </c>
    </row>
    <row r="368" spans="3:7" ht="15">
      <c r="C368" s="25" t="s">
        <v>291</v>
      </c>
      <c r="D368" s="27">
        <v>0.1</v>
      </c>
      <c r="E368" s="27" t="s">
        <v>284</v>
      </c>
      <c r="F368" s="141">
        <f>'LISTA DE PRODUCTOS'!$G$58</f>
        <v>0.007040000000000001</v>
      </c>
      <c r="G368" s="115">
        <f t="shared" si="11"/>
        <v>0.0007040000000000002</v>
      </c>
    </row>
    <row r="369" spans="3:7" ht="15">
      <c r="C369" s="27" t="s">
        <v>262</v>
      </c>
      <c r="D369" s="27">
        <v>2.27</v>
      </c>
      <c r="E369" s="27" t="s">
        <v>284</v>
      </c>
      <c r="F369" s="141">
        <f>'LISTA DE PRODUCTOS'!$G$59</f>
        <v>0.0015400000000000001</v>
      </c>
      <c r="G369" s="115">
        <f>D369*F369</f>
        <v>0.0034958000000000003</v>
      </c>
    </row>
    <row r="370" spans="3:7" ht="15">
      <c r="C370" s="27" t="s">
        <v>430</v>
      </c>
      <c r="D370" s="27">
        <v>4.2</v>
      </c>
      <c r="E370" s="27" t="s">
        <v>284</v>
      </c>
      <c r="F370" s="141">
        <f>'LISTA DE PRODUCTOS'!$G$63</f>
        <v>2.7971428571428573E-05</v>
      </c>
      <c r="G370" s="115">
        <f>D370*F370</f>
        <v>0.00011748000000000001</v>
      </c>
    </row>
    <row r="371" spans="3:7" ht="15">
      <c r="C371" s="27"/>
      <c r="D371" s="27"/>
      <c r="E371" s="27"/>
      <c r="F371" s="141"/>
      <c r="G371" s="115"/>
    </row>
    <row r="372" spans="3:7" ht="15">
      <c r="C372" s="41" t="s">
        <v>336</v>
      </c>
      <c r="D372" s="27">
        <v>200</v>
      </c>
      <c r="E372" s="27" t="s">
        <v>284</v>
      </c>
      <c r="F372" s="143">
        <f>'LISTA DE PRODUCTOS'!$G$55</f>
        <v>0.0022</v>
      </c>
      <c r="G372" s="115">
        <f aca="true" t="shared" si="12" ref="G372:G375">D372*F372</f>
        <v>0.44</v>
      </c>
    </row>
    <row r="373" spans="3:7" ht="15">
      <c r="C373" s="25" t="s">
        <v>263</v>
      </c>
      <c r="D373" s="25">
        <v>4.55</v>
      </c>
      <c r="E373" s="25" t="s">
        <v>284</v>
      </c>
      <c r="F373" s="143">
        <f>'LISTA DE PRODUCTOS'!$G$3</f>
        <v>0.00033</v>
      </c>
      <c r="G373" s="115">
        <f t="shared" si="12"/>
        <v>0.0015015</v>
      </c>
    </row>
    <row r="374" spans="3:7" ht="15">
      <c r="C374" s="25" t="s">
        <v>295</v>
      </c>
      <c r="D374" s="25">
        <v>0.1</v>
      </c>
      <c r="E374" s="25" t="s">
        <v>284</v>
      </c>
      <c r="F374" s="143">
        <f>'LISTA DE PRODUCTOS'!$G$7</f>
        <v>0.007040000000000001</v>
      </c>
      <c r="G374" s="115">
        <f t="shared" si="12"/>
        <v>0.0007040000000000002</v>
      </c>
    </row>
    <row r="375" spans="3:7" ht="15">
      <c r="C375" s="25" t="s">
        <v>292</v>
      </c>
      <c r="D375" s="25">
        <v>0.1</v>
      </c>
      <c r="E375" s="25" t="s">
        <v>284</v>
      </c>
      <c r="F375" s="143">
        <f>'LISTA DE PRODUCTOS'!$G$8</f>
        <v>0.0055000000000000005</v>
      </c>
      <c r="G375" s="115">
        <f t="shared" si="12"/>
        <v>0.00055</v>
      </c>
    </row>
    <row r="376" spans="3:7" ht="15">
      <c r="C376" s="25" t="s">
        <v>293</v>
      </c>
      <c r="D376" s="25">
        <v>0.1</v>
      </c>
      <c r="E376" s="25" t="s">
        <v>284</v>
      </c>
      <c r="F376" s="143">
        <f>'LISTA DE PRODUCTOS'!$G$26</f>
        <v>0.0035200000000000006</v>
      </c>
      <c r="G376" s="115">
        <f aca="true" t="shared" si="13" ref="G376:G377">D376*F376</f>
        <v>0.0003520000000000001</v>
      </c>
    </row>
    <row r="377" spans="3:7" ht="15">
      <c r="C377" s="25" t="s">
        <v>294</v>
      </c>
      <c r="D377" s="25">
        <v>0.1</v>
      </c>
      <c r="E377" s="25" t="s">
        <v>284</v>
      </c>
      <c r="F377" s="141">
        <f>'LISTA DE PRODUCTOS'!$G$53</f>
        <v>0.0074800000000000005</v>
      </c>
      <c r="G377" s="115">
        <f t="shared" si="13"/>
        <v>0.0007480000000000001</v>
      </c>
    </row>
    <row r="378" spans="3:7" ht="15">
      <c r="C378" s="25" t="s">
        <v>291</v>
      </c>
      <c r="D378" s="25">
        <v>0.1</v>
      </c>
      <c r="E378" s="27" t="s">
        <v>284</v>
      </c>
      <c r="F378" s="141">
        <f>'LISTA DE PRODUCTOS'!$G$58</f>
        <v>0.007040000000000001</v>
      </c>
      <c r="G378" s="115">
        <f>D378*F378</f>
        <v>0.0007040000000000002</v>
      </c>
    </row>
    <row r="379" spans="3:7" ht="15">
      <c r="C379" s="25" t="s">
        <v>262</v>
      </c>
      <c r="D379" s="27">
        <v>2.27</v>
      </c>
      <c r="E379" s="27" t="s">
        <v>284</v>
      </c>
      <c r="F379" s="141">
        <f>'LISTA DE PRODUCTOS'!$G$59</f>
        <v>0.0015400000000000001</v>
      </c>
      <c r="G379" s="115">
        <f>D379*F379</f>
        <v>0.0034958000000000003</v>
      </c>
    </row>
    <row r="380" spans="3:7" ht="15.75" thickBot="1">
      <c r="C380" s="2"/>
      <c r="D380" s="2"/>
      <c r="E380" s="2"/>
      <c r="F380" s="144"/>
      <c r="G380" s="136"/>
    </row>
    <row r="381" spans="3:7" ht="15.75" thickBot="1">
      <c r="C381" s="135" t="s">
        <v>92</v>
      </c>
      <c r="D381" s="38" t="s">
        <v>185</v>
      </c>
      <c r="E381" s="39"/>
      <c r="F381" s="145" t="s">
        <v>184</v>
      </c>
      <c r="G381" s="76">
        <f>SUM(G382:G387)</f>
        <v>0.32166666666666666</v>
      </c>
    </row>
    <row r="382" spans="3:7" ht="15">
      <c r="C382" s="41" t="s">
        <v>186</v>
      </c>
      <c r="D382" s="40"/>
      <c r="E382" s="40"/>
      <c r="F382" s="143"/>
      <c r="G382" s="115"/>
    </row>
    <row r="383" spans="3:7" ht="15">
      <c r="C383" s="25" t="s">
        <v>140</v>
      </c>
      <c r="D383" s="67">
        <f>'TIEMPO P.P.'!$F$7/'TIEMPO P.P.'!$H$3</f>
        <v>0.096</v>
      </c>
      <c r="E383" s="67"/>
      <c r="F383" s="143">
        <f>IF(DATOS!$I$9&gt;0,(DATOS!$C$4*'TIEMPO P.P.'!$I$3)/240,0)</f>
        <v>0</v>
      </c>
      <c r="G383" s="115">
        <f>D383*F383</f>
        <v>0</v>
      </c>
    </row>
    <row r="384" spans="3:7" ht="15">
      <c r="C384" s="25" t="s">
        <v>78</v>
      </c>
      <c r="D384" s="67">
        <f>'TIEMPO P.P.'!$F$18/'TIEMPO P.P.'!$H$3</f>
        <v>0.07555555555555556</v>
      </c>
      <c r="E384" s="67"/>
      <c r="F384" s="143">
        <f>IF(DATOS!$J$9&gt;0,DATOS!$C$5*'TIEMPO P.P.'!$I$14/240,0)</f>
        <v>0</v>
      </c>
      <c r="G384" s="115">
        <f>F384*D384</f>
        <v>0</v>
      </c>
    </row>
    <row r="385" spans="3:7" ht="15">
      <c r="C385" s="41" t="s">
        <v>187</v>
      </c>
      <c r="D385" s="42"/>
      <c r="E385" s="42"/>
      <c r="F385" s="143"/>
      <c r="G385" s="115"/>
    </row>
    <row r="386" spans="3:7" ht="15">
      <c r="C386" s="27" t="s">
        <v>140</v>
      </c>
      <c r="D386" s="68">
        <f>D383</f>
        <v>0.096</v>
      </c>
      <c r="E386" s="68"/>
      <c r="F386" s="141">
        <f>IF(DATOS!$I$14&gt;0,DATOS!$C$7*'TIEMPO P.P.'!$I$3/8,0)</f>
        <v>1.875</v>
      </c>
      <c r="G386" s="115">
        <f>D386*F386</f>
        <v>0.18</v>
      </c>
    </row>
    <row r="387" spans="3:7" ht="15.75" thickBot="1">
      <c r="C387" s="22" t="s">
        <v>78</v>
      </c>
      <c r="D387" s="71">
        <f>D384</f>
        <v>0.07555555555555556</v>
      </c>
      <c r="E387" s="71"/>
      <c r="F387" s="141">
        <f>IF(DATOS!$J$14&gt;0,DATOS!$C$8*'TIEMPO P.P.'!$I$14/8,0)</f>
        <v>1.875</v>
      </c>
      <c r="G387" s="115">
        <f>D387*F387</f>
        <v>0.14166666666666666</v>
      </c>
    </row>
    <row r="388" spans="3:7" ht="15.75" thickBot="1">
      <c r="C388" s="135" t="s">
        <v>93</v>
      </c>
      <c r="D388" s="38" t="s">
        <v>193</v>
      </c>
      <c r="E388" s="39"/>
      <c r="F388" s="145" t="s">
        <v>198</v>
      </c>
      <c r="G388" s="76">
        <f>SUM(G389:G391)</f>
        <v>0.37888296544312167</v>
      </c>
    </row>
    <row r="389" spans="3:7" ht="15">
      <c r="C389" s="25" t="s">
        <v>191</v>
      </c>
      <c r="D389" s="70">
        <f>('TIEMPO P.P.'!$E$7+'TIEMPO P.P.'!$E$18)/2</f>
        <v>0.32166666666666666</v>
      </c>
      <c r="E389" s="70"/>
      <c r="F389" s="143">
        <f>IF(DATOS!$F$51=0,DATOS!$F$20,DATOS!$F$51)</f>
        <v>1.1778745039682539</v>
      </c>
      <c r="G389" s="115">
        <f>D389*$F$45</f>
        <v>0.37888296544312167</v>
      </c>
    </row>
    <row r="390" spans="3:7" ht="15">
      <c r="C390" s="27" t="s">
        <v>192</v>
      </c>
      <c r="D390" s="69">
        <f>D389</f>
        <v>0.32166666666666666</v>
      </c>
      <c r="E390" s="69"/>
      <c r="F390" s="141">
        <f>DATOS!$F$65/ORDEN!$D$34</f>
        <v>0</v>
      </c>
      <c r="G390" s="115">
        <f>D390*$F$46</f>
        <v>0</v>
      </c>
    </row>
    <row r="391" spans="3:7" ht="15.75" thickBot="1">
      <c r="C391" s="27"/>
      <c r="D391" s="27"/>
      <c r="E391" s="27"/>
      <c r="F391" s="141"/>
      <c r="G391" s="115">
        <f>D391*F391</f>
        <v>0</v>
      </c>
    </row>
    <row r="392" spans="3:7" ht="17.25" thickBot="1" thickTop="1">
      <c r="C392" s="28"/>
      <c r="D392" s="543" t="s">
        <v>94</v>
      </c>
      <c r="E392" s="544"/>
      <c r="F392" s="545"/>
      <c r="G392" s="157">
        <f>G361+G381+G388</f>
        <v>2.372506127109789</v>
      </c>
    </row>
    <row r="393" ht="15.75" thickTop="1"/>
    <row r="396" spans="3:7" ht="19.5" thickBot="1">
      <c r="C396" s="546" t="str">
        <f>PLATOS!D18</f>
        <v>Papi Pollo</v>
      </c>
      <c r="D396" s="546"/>
      <c r="E396" s="546"/>
      <c r="F396" s="546"/>
      <c r="G396" s="546"/>
    </row>
    <row r="397" spans="4:7" ht="15.75" thickBot="1">
      <c r="D397" s="31" t="s">
        <v>96</v>
      </c>
      <c r="E397" s="31"/>
      <c r="F397" s="146" t="s">
        <v>95</v>
      </c>
      <c r="G397" s="113" t="s">
        <v>97</v>
      </c>
    </row>
    <row r="398" spans="3:7" ht="15.75" thickBot="1">
      <c r="C398" s="547" t="s">
        <v>91</v>
      </c>
      <c r="D398" s="548"/>
      <c r="E398" s="548"/>
      <c r="F398" s="549"/>
      <c r="G398" s="156">
        <f>SUM(G399:G412)+G20</f>
        <v>1.0692433583333332</v>
      </c>
    </row>
    <row r="399" spans="3:7" ht="15">
      <c r="C399" s="41" t="s">
        <v>296</v>
      </c>
      <c r="D399" s="25">
        <v>286.37</v>
      </c>
      <c r="E399" s="25" t="s">
        <v>284</v>
      </c>
      <c r="F399" s="143">
        <f>'LISTA DE PRODUCTOS'!$G$55</f>
        <v>0.0022</v>
      </c>
      <c r="G399" s="115">
        <f>D399*F399</f>
        <v>0.6300140000000001</v>
      </c>
    </row>
    <row r="400" spans="3:7" ht="15">
      <c r="C400" s="25" t="s">
        <v>295</v>
      </c>
      <c r="D400" s="27">
        <v>0.15</v>
      </c>
      <c r="E400" s="27" t="s">
        <v>284</v>
      </c>
      <c r="F400" s="143">
        <f>'LISTA DE PRODUCTOS'!$G$7</f>
        <v>0.007040000000000001</v>
      </c>
      <c r="G400" s="115">
        <f aca="true" t="shared" si="14" ref="G400:G409">D400*F400</f>
        <v>0.001056</v>
      </c>
    </row>
    <row r="401" spans="3:7" ht="15">
      <c r="C401" s="25" t="s">
        <v>380</v>
      </c>
      <c r="D401" s="25">
        <v>2.28</v>
      </c>
      <c r="E401" s="25" t="s">
        <v>284</v>
      </c>
      <c r="F401" s="143">
        <f>'LISTA DE PRODUCTOS'!$G$8</f>
        <v>0.0055000000000000005</v>
      </c>
      <c r="G401" s="115">
        <f t="shared" si="14"/>
        <v>0.01254</v>
      </c>
    </row>
    <row r="402" spans="3:7" ht="15">
      <c r="C402" s="25" t="s">
        <v>275</v>
      </c>
      <c r="D402" s="27">
        <v>0.15</v>
      </c>
      <c r="E402" s="27" t="s">
        <v>284</v>
      </c>
      <c r="F402" s="143">
        <f>'LISTA DE PRODUCTOS'!$G$11</f>
        <v>0.0011</v>
      </c>
      <c r="G402" s="115">
        <f t="shared" si="14"/>
        <v>0.000165</v>
      </c>
    </row>
    <row r="403" spans="3:7" ht="15">
      <c r="C403" s="25" t="s">
        <v>265</v>
      </c>
      <c r="D403" s="27">
        <v>4.55</v>
      </c>
      <c r="E403" s="27" t="s">
        <v>284</v>
      </c>
      <c r="F403" s="143">
        <f>'LISTA DE PRODUCTOS'!$G$18</f>
        <v>0.0014666666666666667</v>
      </c>
      <c r="G403" s="115">
        <f t="shared" si="14"/>
        <v>0.006673333333333333</v>
      </c>
    </row>
    <row r="404" spans="3:7" ht="15">
      <c r="C404" s="25" t="s">
        <v>274</v>
      </c>
      <c r="D404" s="27">
        <v>0.15</v>
      </c>
      <c r="E404" s="27" t="s">
        <v>284</v>
      </c>
      <c r="F404" s="143">
        <f>'LISTA DE PRODUCTOS'!$G$23</f>
        <v>0.0011</v>
      </c>
      <c r="G404" s="115">
        <f t="shared" si="14"/>
        <v>0.000165</v>
      </c>
    </row>
    <row r="405" spans="3:7" ht="15">
      <c r="C405" s="25" t="s">
        <v>293</v>
      </c>
      <c r="D405" s="27">
        <v>0.15</v>
      </c>
      <c r="E405" s="27" t="s">
        <v>284</v>
      </c>
      <c r="F405" s="143">
        <f>'LISTA DE PRODUCTOS'!$G$26</f>
        <v>0.0035200000000000006</v>
      </c>
      <c r="G405" s="115">
        <f t="shared" si="14"/>
        <v>0.000528</v>
      </c>
    </row>
    <row r="406" spans="3:7" ht="15">
      <c r="C406" s="25" t="s">
        <v>277</v>
      </c>
      <c r="D406" s="25">
        <v>0.84</v>
      </c>
      <c r="E406" s="25" t="s">
        <v>284</v>
      </c>
      <c r="F406" s="141">
        <f>'LISTA DE PRODUCTOS'!$G$39</f>
        <v>0.00022275000000000005</v>
      </c>
      <c r="G406" s="115">
        <f t="shared" si="14"/>
        <v>0.00018711000000000004</v>
      </c>
    </row>
    <row r="407" spans="3:7" ht="15">
      <c r="C407" s="25" t="s">
        <v>355</v>
      </c>
      <c r="D407" s="27">
        <v>0.15</v>
      </c>
      <c r="E407" s="27" t="s">
        <v>284</v>
      </c>
      <c r="F407" s="143">
        <f>'LISTA DE PRODUCTOS'!$G$48</f>
        <v>0.0033000000000000004</v>
      </c>
      <c r="G407" s="115">
        <f t="shared" si="14"/>
        <v>0.000495</v>
      </c>
    </row>
    <row r="408" spans="3:7" ht="15">
      <c r="C408" s="27" t="s">
        <v>294</v>
      </c>
      <c r="D408" s="27">
        <v>0.15</v>
      </c>
      <c r="E408" s="27" t="s">
        <v>284</v>
      </c>
      <c r="F408" s="141">
        <f>'LISTA DE PRODUCTOS'!$G$53</f>
        <v>0.0074800000000000005</v>
      </c>
      <c r="G408" s="115">
        <f t="shared" si="14"/>
        <v>0.001122</v>
      </c>
    </row>
    <row r="409" spans="3:7" ht="15">
      <c r="C409" s="27" t="s">
        <v>381</v>
      </c>
      <c r="D409" s="27">
        <v>4.55</v>
      </c>
      <c r="E409" s="27" t="s">
        <v>284</v>
      </c>
      <c r="F409" s="141">
        <f>'LISTA DE PRODUCTOS'!$G$54</f>
        <v>0.0055000000000000005</v>
      </c>
      <c r="G409" s="115">
        <f t="shared" si="14"/>
        <v>0.025025000000000002</v>
      </c>
    </row>
    <row r="410" spans="3:7" ht="15">
      <c r="C410" s="27" t="s">
        <v>291</v>
      </c>
      <c r="D410" s="27">
        <v>0.15</v>
      </c>
      <c r="E410" s="27" t="s">
        <v>284</v>
      </c>
      <c r="F410" s="141">
        <f>'LISTA DE PRODUCTOS'!$G$58</f>
        <v>0.007040000000000001</v>
      </c>
      <c r="G410" s="115">
        <f>D410*F410</f>
        <v>0.001056</v>
      </c>
    </row>
    <row r="411" spans="3:7" ht="15">
      <c r="C411" s="27" t="s">
        <v>262</v>
      </c>
      <c r="D411" s="27">
        <v>0.75</v>
      </c>
      <c r="E411" s="27" t="s">
        <v>284</v>
      </c>
      <c r="F411" s="141">
        <f>'LISTA DE PRODUCTOS'!$G$59</f>
        <v>0.0015400000000000001</v>
      </c>
      <c r="G411" s="115">
        <f>D411*F411</f>
        <v>0.0011550000000000002</v>
      </c>
    </row>
    <row r="412" spans="3:7" ht="15">
      <c r="C412" s="27" t="s">
        <v>276</v>
      </c>
      <c r="D412" s="27"/>
      <c r="E412" s="27"/>
      <c r="F412" s="141">
        <f>'LISTA DE PRODUCTOS'!$G$62</f>
        <v>0.013200000000000002</v>
      </c>
      <c r="G412" s="115">
        <f>D412*F412</f>
        <v>0</v>
      </c>
    </row>
    <row r="413" spans="3:7" ht="15.75" thickBot="1">
      <c r="C413" s="2"/>
      <c r="D413" s="2"/>
      <c r="E413" s="2"/>
      <c r="F413" s="144"/>
      <c r="G413" s="136"/>
    </row>
    <row r="414" spans="3:7" ht="15.75" thickBot="1">
      <c r="C414" s="135" t="s">
        <v>92</v>
      </c>
      <c r="D414" s="38" t="s">
        <v>185</v>
      </c>
      <c r="E414" s="39"/>
      <c r="F414" s="145" t="s">
        <v>184</v>
      </c>
      <c r="G414" s="76">
        <f>SUM(G415:G420)</f>
        <v>0.32166666666666666</v>
      </c>
    </row>
    <row r="415" spans="3:7" ht="15">
      <c r="C415" s="41" t="s">
        <v>186</v>
      </c>
      <c r="D415" s="40"/>
      <c r="E415" s="40"/>
      <c r="F415" s="143"/>
      <c r="G415" s="115"/>
    </row>
    <row r="416" spans="3:7" ht="15">
      <c r="C416" s="25" t="s">
        <v>140</v>
      </c>
      <c r="D416" s="67">
        <f>'TIEMPO P.P.'!$F$7/'TIEMPO P.P.'!$H$3</f>
        <v>0.096</v>
      </c>
      <c r="E416" s="67"/>
      <c r="F416" s="143">
        <f>IF(DATOS!$I$9&gt;0,(DATOS!$C$4*'TIEMPO P.P.'!$I$3)/240,0)</f>
        <v>0</v>
      </c>
      <c r="G416" s="115">
        <f>D416*F416</f>
        <v>0</v>
      </c>
    </row>
    <row r="417" spans="3:7" ht="15">
      <c r="C417" s="25" t="s">
        <v>78</v>
      </c>
      <c r="D417" s="67">
        <f>'TIEMPO P.P.'!$F$18/'TIEMPO P.P.'!$H$3</f>
        <v>0.07555555555555556</v>
      </c>
      <c r="E417" s="67"/>
      <c r="F417" s="143">
        <f>IF(DATOS!$J$9&gt;0,DATOS!$C$5*'TIEMPO P.P.'!$I$14/240,0)</f>
        <v>0</v>
      </c>
      <c r="G417" s="115">
        <f>F417*D417</f>
        <v>0</v>
      </c>
    </row>
    <row r="418" spans="3:7" ht="15">
      <c r="C418" s="41" t="s">
        <v>187</v>
      </c>
      <c r="D418" s="42"/>
      <c r="E418" s="42"/>
      <c r="F418" s="143"/>
      <c r="G418" s="115"/>
    </row>
    <row r="419" spans="3:7" ht="15">
      <c r="C419" s="27" t="s">
        <v>140</v>
      </c>
      <c r="D419" s="68">
        <f>D416</f>
        <v>0.096</v>
      </c>
      <c r="E419" s="68"/>
      <c r="F419" s="141">
        <f>IF(DATOS!$I$14&gt;0,DATOS!$C$7*'TIEMPO P.P.'!$I$3/8,0)</f>
        <v>1.875</v>
      </c>
      <c r="G419" s="115">
        <f>D419*F419</f>
        <v>0.18</v>
      </c>
    </row>
    <row r="420" spans="3:7" ht="15.75" thickBot="1">
      <c r="C420" s="22" t="s">
        <v>78</v>
      </c>
      <c r="D420" s="71">
        <f>D417</f>
        <v>0.07555555555555556</v>
      </c>
      <c r="E420" s="71"/>
      <c r="F420" s="141">
        <f>IF(DATOS!$J$14&gt;0,DATOS!$C$8*'TIEMPO P.P.'!$I$14/8,0)</f>
        <v>1.875</v>
      </c>
      <c r="G420" s="115">
        <f>D420*F420</f>
        <v>0.14166666666666666</v>
      </c>
    </row>
    <row r="421" spans="3:7" ht="15.75" thickBot="1">
      <c r="C421" s="135" t="s">
        <v>93</v>
      </c>
      <c r="D421" s="38" t="s">
        <v>193</v>
      </c>
      <c r="E421" s="39"/>
      <c r="F421" s="145" t="s">
        <v>198</v>
      </c>
      <c r="G421" s="76">
        <f>SUM(G422:G424)</f>
        <v>0.37888296544312167</v>
      </c>
    </row>
    <row r="422" spans="3:7" ht="15">
      <c r="C422" s="25" t="s">
        <v>191</v>
      </c>
      <c r="D422" s="70">
        <f>('TIEMPO P.P.'!$E$7+'TIEMPO P.P.'!$E$18)/2</f>
        <v>0.32166666666666666</v>
      </c>
      <c r="E422" s="70"/>
      <c r="F422" s="143">
        <f>IF(DATOS!$F$51=0,DATOS!$F$20,DATOS!$F$51)</f>
        <v>1.1778745039682539</v>
      </c>
      <c r="G422" s="115">
        <f>D422*$F$45</f>
        <v>0.37888296544312167</v>
      </c>
    </row>
    <row r="423" spans="3:7" ht="15">
      <c r="C423" s="27" t="s">
        <v>192</v>
      </c>
      <c r="D423" s="69">
        <f>D422</f>
        <v>0.32166666666666666</v>
      </c>
      <c r="E423" s="69"/>
      <c r="F423" s="141">
        <f>DATOS!$F$65/ORDEN!$D$34</f>
        <v>0</v>
      </c>
      <c r="G423" s="115">
        <f>D423*$F$46</f>
        <v>0</v>
      </c>
    </row>
    <row r="424" spans="3:7" ht="15.75" thickBot="1">
      <c r="C424" s="27"/>
      <c r="D424" s="27"/>
      <c r="E424" s="27"/>
      <c r="F424" s="141"/>
      <c r="G424" s="115">
        <f>D424*F424</f>
        <v>0</v>
      </c>
    </row>
    <row r="425" spans="3:7" ht="17.25" thickBot="1" thickTop="1">
      <c r="C425" s="28"/>
      <c r="D425" s="543" t="s">
        <v>94</v>
      </c>
      <c r="E425" s="544"/>
      <c r="F425" s="545"/>
      <c r="G425" s="157">
        <f>G398+G414+G421</f>
        <v>1.7697929904431213</v>
      </c>
    </row>
    <row r="426" ht="15.75" thickTop="1"/>
    <row r="428" spans="3:7" ht="19.5" thickBot="1">
      <c r="C428" s="546" t="str">
        <f>PLATOS!D19</f>
        <v>COSTO-FUERTES'!C241</v>
      </c>
      <c r="D428" s="546"/>
      <c r="E428" s="546"/>
      <c r="F428" s="546"/>
      <c r="G428" s="546"/>
    </row>
    <row r="429" spans="4:7" ht="15.75" thickBot="1">
      <c r="D429" s="31" t="s">
        <v>96</v>
      </c>
      <c r="E429" s="31"/>
      <c r="F429" s="146" t="s">
        <v>95</v>
      </c>
      <c r="G429" s="113" t="s">
        <v>97</v>
      </c>
    </row>
    <row r="430" spans="3:7" ht="15.75" thickBot="1">
      <c r="C430" s="547" t="s">
        <v>91</v>
      </c>
      <c r="D430" s="548"/>
      <c r="E430" s="548"/>
      <c r="F430" s="549"/>
      <c r="G430" s="114">
        <f>SUM(G431:G437)+G20</f>
        <v>0.389061915</v>
      </c>
    </row>
    <row r="431" spans="3:7" ht="15">
      <c r="C431" s="25"/>
      <c r="D431" s="25"/>
      <c r="E431" s="25"/>
      <c r="F431" s="143"/>
      <c r="G431" s="115">
        <f aca="true" t="shared" si="15" ref="G431:G437">D431*F431</f>
        <v>0</v>
      </c>
    </row>
    <row r="432" spans="3:7" ht="15">
      <c r="C432" s="27"/>
      <c r="D432" s="27"/>
      <c r="E432" s="27"/>
      <c r="F432" s="141"/>
      <c r="G432" s="115">
        <f t="shared" si="15"/>
        <v>0</v>
      </c>
    </row>
    <row r="433" spans="3:7" ht="15">
      <c r="C433" s="27"/>
      <c r="D433" s="27"/>
      <c r="E433" s="27"/>
      <c r="F433" s="141"/>
      <c r="G433" s="115">
        <f t="shared" si="15"/>
        <v>0</v>
      </c>
    </row>
    <row r="434" spans="3:7" ht="15">
      <c r="C434" s="27"/>
      <c r="D434" s="27"/>
      <c r="E434" s="27"/>
      <c r="F434" s="141"/>
      <c r="G434" s="115">
        <f t="shared" si="15"/>
        <v>0</v>
      </c>
    </row>
    <row r="435" spans="3:7" ht="15">
      <c r="C435" s="27"/>
      <c r="D435" s="27"/>
      <c r="E435" s="27"/>
      <c r="F435" s="141"/>
      <c r="G435" s="115">
        <f t="shared" si="15"/>
        <v>0</v>
      </c>
    </row>
    <row r="436" spans="3:7" ht="15">
      <c r="C436" s="27"/>
      <c r="D436" s="27"/>
      <c r="E436" s="27"/>
      <c r="F436" s="141"/>
      <c r="G436" s="115">
        <f t="shared" si="15"/>
        <v>0</v>
      </c>
    </row>
    <row r="437" spans="3:7" ht="15">
      <c r="C437" s="27"/>
      <c r="D437" s="27"/>
      <c r="E437" s="27"/>
      <c r="F437" s="141"/>
      <c r="G437" s="115">
        <f t="shared" si="15"/>
        <v>0</v>
      </c>
    </row>
    <row r="438" spans="3:7" ht="15.75" thickBot="1">
      <c r="C438" s="2"/>
      <c r="D438" s="2"/>
      <c r="E438" s="2"/>
      <c r="F438" s="144"/>
      <c r="G438" s="136"/>
    </row>
    <row r="439" spans="3:7" ht="15.75" thickBot="1">
      <c r="C439" s="135" t="s">
        <v>92</v>
      </c>
      <c r="D439" s="38" t="s">
        <v>185</v>
      </c>
      <c r="E439" s="39"/>
      <c r="F439" s="145" t="s">
        <v>184</v>
      </c>
      <c r="G439" s="116">
        <f>SUM(G440:G445)</f>
        <v>0.32166666666666666</v>
      </c>
    </row>
    <row r="440" spans="3:7" ht="15">
      <c r="C440" s="41" t="s">
        <v>186</v>
      </c>
      <c r="D440" s="40"/>
      <c r="E440" s="40"/>
      <c r="F440" s="143"/>
      <c r="G440" s="115"/>
    </row>
    <row r="441" spans="3:7" ht="15">
      <c r="C441" s="25" t="s">
        <v>140</v>
      </c>
      <c r="D441" s="67">
        <f>'TIEMPO P.P.'!$F$7/'TIEMPO P.P.'!$H$3</f>
        <v>0.096</v>
      </c>
      <c r="E441" s="67"/>
      <c r="F441" s="143">
        <f>IF(DATOS!$I$9&gt;0,(DATOS!$C$4*'TIEMPO P.P.'!$I$3)/240,0)</f>
        <v>0</v>
      </c>
      <c r="G441" s="115">
        <f>D441*F441</f>
        <v>0</v>
      </c>
    </row>
    <row r="442" spans="3:7" ht="15">
      <c r="C442" s="25" t="s">
        <v>78</v>
      </c>
      <c r="D442" s="67">
        <f>'TIEMPO P.P.'!$F$18/'TIEMPO P.P.'!$H$3</f>
        <v>0.07555555555555556</v>
      </c>
      <c r="E442" s="67"/>
      <c r="F442" s="143">
        <f>IF(DATOS!$J$9&gt;0,DATOS!$C$5*'TIEMPO P.P.'!$I$14/240,0)</f>
        <v>0</v>
      </c>
      <c r="G442" s="115">
        <f>F442*D442</f>
        <v>0</v>
      </c>
    </row>
    <row r="443" spans="3:7" ht="15">
      <c r="C443" s="41" t="s">
        <v>187</v>
      </c>
      <c r="D443" s="42"/>
      <c r="E443" s="42"/>
      <c r="F443" s="143"/>
      <c r="G443" s="115"/>
    </row>
    <row r="444" spans="3:7" ht="15">
      <c r="C444" s="27" t="s">
        <v>140</v>
      </c>
      <c r="D444" s="68">
        <f>D441</f>
        <v>0.096</v>
      </c>
      <c r="E444" s="68"/>
      <c r="F444" s="141">
        <f>IF(DATOS!$I$14&gt;0,DATOS!$C$7*'TIEMPO P.P.'!$I$3/8,0)</f>
        <v>1.875</v>
      </c>
      <c r="G444" s="115">
        <f>D444*F444</f>
        <v>0.18</v>
      </c>
    </row>
    <row r="445" spans="3:7" ht="15.75" thickBot="1">
      <c r="C445" s="22" t="s">
        <v>78</v>
      </c>
      <c r="D445" s="71">
        <f>D442</f>
        <v>0.07555555555555556</v>
      </c>
      <c r="E445" s="71"/>
      <c r="F445" s="141">
        <f>IF(DATOS!$J$14&gt;0,DATOS!$C$8*'TIEMPO P.P.'!$I$14/8,0)</f>
        <v>1.875</v>
      </c>
      <c r="G445" s="115">
        <f>D445*F445</f>
        <v>0.14166666666666666</v>
      </c>
    </row>
    <row r="446" spans="3:7" ht="15.75" thickBot="1">
      <c r="C446" s="135" t="s">
        <v>93</v>
      </c>
      <c r="D446" s="38" t="s">
        <v>193</v>
      </c>
      <c r="E446" s="39"/>
      <c r="F446" s="145" t="s">
        <v>198</v>
      </c>
      <c r="G446" s="116">
        <f>SUM(G447:G449)</f>
        <v>0.37888296544312167</v>
      </c>
    </row>
    <row r="447" spans="3:7" ht="15">
      <c r="C447" s="25" t="s">
        <v>191</v>
      </c>
      <c r="D447" s="70">
        <f>('TIEMPO P.P.'!$E$7+'TIEMPO P.P.'!$E$18)/2</f>
        <v>0.32166666666666666</v>
      </c>
      <c r="E447" s="70"/>
      <c r="F447" s="143">
        <f>IF(DATOS!$F$51=0,DATOS!$F$20,DATOS!$F$51)</f>
        <v>1.1778745039682539</v>
      </c>
      <c r="G447" s="115">
        <f>D447*$F$45</f>
        <v>0.37888296544312167</v>
      </c>
    </row>
    <row r="448" spans="3:7" ht="15">
      <c r="C448" s="27" t="s">
        <v>192</v>
      </c>
      <c r="D448" s="69">
        <f>D447</f>
        <v>0.32166666666666666</v>
      </c>
      <c r="E448" s="69"/>
      <c r="F448" s="141">
        <f>DATOS!$F$65/ORDEN!$D$34</f>
        <v>0</v>
      </c>
      <c r="G448" s="115">
        <f>D448*$F$46</f>
        <v>0</v>
      </c>
    </row>
    <row r="449" spans="3:7" ht="15.75" thickBot="1">
      <c r="C449" s="27"/>
      <c r="D449" s="27"/>
      <c r="E449" s="27"/>
      <c r="F449" s="141"/>
      <c r="G449" s="115">
        <f>D449*F449</f>
        <v>0</v>
      </c>
    </row>
    <row r="450" spans="3:7" ht="17.25" thickBot="1" thickTop="1">
      <c r="C450" s="28"/>
      <c r="D450" s="543" t="s">
        <v>94</v>
      </c>
      <c r="E450" s="544"/>
      <c r="F450" s="545"/>
      <c r="G450" s="117">
        <f>G430+G439+G446</f>
        <v>1.0896115471097882</v>
      </c>
    </row>
    <row r="451" ht="15.75" thickTop="1"/>
    <row r="454" spans="3:7" ht="19.5" thickBot="1">
      <c r="C454" s="546" t="str">
        <f>PLATOS!D20</f>
        <v>COSTO-FUERTES'!C263</v>
      </c>
      <c r="D454" s="546"/>
      <c r="E454" s="546"/>
      <c r="F454" s="546"/>
      <c r="G454" s="546"/>
    </row>
    <row r="455" spans="4:7" ht="15.75" thickBot="1">
      <c r="D455" s="31" t="s">
        <v>96</v>
      </c>
      <c r="E455" s="31"/>
      <c r="F455" s="146" t="s">
        <v>95</v>
      </c>
      <c r="G455" s="113" t="s">
        <v>97</v>
      </c>
    </row>
    <row r="456" spans="3:7" ht="15.75" thickBot="1">
      <c r="C456" s="547" t="s">
        <v>91</v>
      </c>
      <c r="D456" s="548"/>
      <c r="E456" s="548"/>
      <c r="F456" s="549"/>
      <c r="G456" s="114">
        <f>SUM(G457:G463)+G20</f>
        <v>0.389061915</v>
      </c>
    </row>
    <row r="457" spans="3:7" ht="15">
      <c r="C457" s="25"/>
      <c r="D457" s="25"/>
      <c r="E457" s="25"/>
      <c r="F457" s="143"/>
      <c r="G457" s="115">
        <f aca="true" t="shared" si="16" ref="G457:G463">D457*F457</f>
        <v>0</v>
      </c>
    </row>
    <row r="458" spans="3:7" ht="15">
      <c r="C458" s="27"/>
      <c r="D458" s="27"/>
      <c r="E458" s="27"/>
      <c r="F458" s="141"/>
      <c r="G458" s="115">
        <f t="shared" si="16"/>
        <v>0</v>
      </c>
    </row>
    <row r="459" spans="3:7" ht="15">
      <c r="C459" s="27"/>
      <c r="D459" s="27"/>
      <c r="E459" s="27"/>
      <c r="F459" s="141"/>
      <c r="G459" s="115">
        <f t="shared" si="16"/>
        <v>0</v>
      </c>
    </row>
    <row r="460" spans="3:7" ht="15">
      <c r="C460" s="27"/>
      <c r="D460" s="27"/>
      <c r="E460" s="27"/>
      <c r="F460" s="141"/>
      <c r="G460" s="115">
        <f t="shared" si="16"/>
        <v>0</v>
      </c>
    </row>
    <row r="461" spans="3:7" ht="15">
      <c r="C461" s="27"/>
      <c r="D461" s="27"/>
      <c r="E461" s="27"/>
      <c r="F461" s="141"/>
      <c r="G461" s="115">
        <f t="shared" si="16"/>
        <v>0</v>
      </c>
    </row>
    <row r="462" spans="3:7" ht="15">
      <c r="C462" s="27"/>
      <c r="D462" s="27"/>
      <c r="E462" s="27"/>
      <c r="F462" s="141"/>
      <c r="G462" s="115">
        <f t="shared" si="16"/>
        <v>0</v>
      </c>
    </row>
    <row r="463" spans="3:7" ht="15.75" thickBot="1">
      <c r="C463" s="22"/>
      <c r="D463" s="22"/>
      <c r="E463" s="22"/>
      <c r="F463" s="147"/>
      <c r="G463" s="115">
        <f t="shared" si="16"/>
        <v>0</v>
      </c>
    </row>
    <row r="464" spans="3:7" ht="15.75" thickBot="1">
      <c r="C464" s="135" t="s">
        <v>92</v>
      </c>
      <c r="D464" s="38" t="s">
        <v>185</v>
      </c>
      <c r="E464" s="39"/>
      <c r="F464" s="145" t="s">
        <v>184</v>
      </c>
      <c r="G464" s="116">
        <f>SUM(G465:G470)</f>
        <v>0.32166666666666666</v>
      </c>
    </row>
    <row r="465" spans="3:7" ht="15">
      <c r="C465" s="41" t="s">
        <v>186</v>
      </c>
      <c r="D465" s="40"/>
      <c r="E465" s="40"/>
      <c r="F465" s="143"/>
      <c r="G465" s="115"/>
    </row>
    <row r="466" spans="3:7" ht="15">
      <c r="C466" s="25" t="s">
        <v>140</v>
      </c>
      <c r="D466" s="67">
        <f>'TIEMPO P.P.'!$F$7/'TIEMPO P.P.'!$H$3</f>
        <v>0.096</v>
      </c>
      <c r="E466" s="67"/>
      <c r="F466" s="143">
        <f>IF(DATOS!$I$9&gt;0,(DATOS!$C$4*'TIEMPO P.P.'!$I$3)/240,0)</f>
        <v>0</v>
      </c>
      <c r="G466" s="115">
        <f>D466*F466</f>
        <v>0</v>
      </c>
    </row>
    <row r="467" spans="3:7" ht="15">
      <c r="C467" s="25" t="s">
        <v>78</v>
      </c>
      <c r="D467" s="67">
        <f>'TIEMPO P.P.'!$F$18/'TIEMPO P.P.'!$H$3</f>
        <v>0.07555555555555556</v>
      </c>
      <c r="E467" s="67"/>
      <c r="F467" s="143">
        <f>IF(DATOS!$J$9&gt;0,DATOS!$C$5*'TIEMPO P.P.'!$I$14/240,0)</f>
        <v>0</v>
      </c>
      <c r="G467" s="115">
        <f>F467*D467</f>
        <v>0</v>
      </c>
    </row>
    <row r="468" spans="3:7" ht="15">
      <c r="C468" s="41" t="s">
        <v>187</v>
      </c>
      <c r="D468" s="42"/>
      <c r="E468" s="42"/>
      <c r="F468" s="143"/>
      <c r="G468" s="115"/>
    </row>
    <row r="469" spans="3:7" ht="15">
      <c r="C469" s="27" t="s">
        <v>140</v>
      </c>
      <c r="D469" s="68">
        <f>D466</f>
        <v>0.096</v>
      </c>
      <c r="E469" s="68"/>
      <c r="F469" s="141">
        <f>IF(DATOS!$I$14&gt;0,DATOS!$C$7*'TIEMPO P.P.'!$I$3/8,0)</f>
        <v>1.875</v>
      </c>
      <c r="G469" s="115">
        <f>D469*F469</f>
        <v>0.18</v>
      </c>
    </row>
    <row r="470" spans="3:7" ht="15.75" thickBot="1">
      <c r="C470" s="22" t="s">
        <v>78</v>
      </c>
      <c r="D470" s="71">
        <f>D467</f>
        <v>0.07555555555555556</v>
      </c>
      <c r="E470" s="71"/>
      <c r="F470" s="141">
        <f>IF(DATOS!$J$14&gt;0,DATOS!$C$8*'TIEMPO P.P.'!$I$14/8,0)</f>
        <v>1.875</v>
      </c>
      <c r="G470" s="115">
        <f>D470*F470</f>
        <v>0.14166666666666666</v>
      </c>
    </row>
    <row r="471" spans="3:7" ht="15.75" thickBot="1">
      <c r="C471" s="135" t="s">
        <v>93</v>
      </c>
      <c r="D471" s="38" t="s">
        <v>193</v>
      </c>
      <c r="E471" s="39"/>
      <c r="F471" s="145" t="s">
        <v>198</v>
      </c>
      <c r="G471" s="116">
        <f>SUM(G472:G474)</f>
        <v>0.37888296544312167</v>
      </c>
    </row>
    <row r="472" spans="3:7" ht="15">
      <c r="C472" s="25" t="s">
        <v>191</v>
      </c>
      <c r="D472" s="70">
        <f>('TIEMPO P.P.'!$E$7+'TIEMPO P.P.'!$E$18)/2</f>
        <v>0.32166666666666666</v>
      </c>
      <c r="E472" s="70"/>
      <c r="F472" s="143">
        <f>IF(DATOS!$F$51=0,DATOS!$F$20,DATOS!$F$51)</f>
        <v>1.1778745039682539</v>
      </c>
      <c r="G472" s="115">
        <f>D472*$F$45</f>
        <v>0.37888296544312167</v>
      </c>
    </row>
    <row r="473" spans="3:7" ht="15">
      <c r="C473" s="27" t="s">
        <v>192</v>
      </c>
      <c r="D473" s="69">
        <f>D472</f>
        <v>0.32166666666666666</v>
      </c>
      <c r="E473" s="69"/>
      <c r="F473" s="141">
        <f>DATOS!$F$65/ORDEN!$D$34</f>
        <v>0</v>
      </c>
      <c r="G473" s="115">
        <f>D473*$F$46</f>
        <v>0</v>
      </c>
    </row>
    <row r="474" spans="3:7" ht="15.75" thickBot="1">
      <c r="C474" s="27"/>
      <c r="D474" s="27"/>
      <c r="E474" s="27"/>
      <c r="F474" s="141"/>
      <c r="G474" s="115">
        <f>D474*F474</f>
        <v>0</v>
      </c>
    </row>
    <row r="475" spans="3:7" ht="17.25" thickBot="1" thickTop="1">
      <c r="C475" s="28"/>
      <c r="D475" s="543" t="s">
        <v>94</v>
      </c>
      <c r="E475" s="544"/>
      <c r="F475" s="545"/>
      <c r="G475" s="117">
        <f>G456+G464+G471</f>
        <v>1.0896115471097882</v>
      </c>
    </row>
    <row r="476" ht="15.75" thickTop="1"/>
  </sheetData>
  <mergeCells count="43">
    <mergeCell ref="C1:H1"/>
    <mergeCell ref="C3:H3"/>
    <mergeCell ref="C21:G21"/>
    <mergeCell ref="C25:F25"/>
    <mergeCell ref="D48:F48"/>
    <mergeCell ref="C51:G51"/>
    <mergeCell ref="C53:F53"/>
    <mergeCell ref="C23:G23"/>
    <mergeCell ref="C5:G5"/>
    <mergeCell ref="C121:F121"/>
    <mergeCell ref="C83:G83"/>
    <mergeCell ref="C85:F85"/>
    <mergeCell ref="D116:F116"/>
    <mergeCell ref="C119:G119"/>
    <mergeCell ref="D79:F79"/>
    <mergeCell ref="D155:F155"/>
    <mergeCell ref="C159:G159"/>
    <mergeCell ref="D195:F195"/>
    <mergeCell ref="C198:G198"/>
    <mergeCell ref="C161:F161"/>
    <mergeCell ref="C200:F200"/>
    <mergeCell ref="D237:F237"/>
    <mergeCell ref="C243:F243"/>
    <mergeCell ref="C359:G359"/>
    <mergeCell ref="D277:F277"/>
    <mergeCell ref="C280:G280"/>
    <mergeCell ref="C282:F282"/>
    <mergeCell ref="D319:F319"/>
    <mergeCell ref="C323:G323"/>
    <mergeCell ref="C325:F325"/>
    <mergeCell ref="D356:F356"/>
    <mergeCell ref="C241:G241"/>
    <mergeCell ref="C361:F361"/>
    <mergeCell ref="D392:F392"/>
    <mergeCell ref="C396:G396"/>
    <mergeCell ref="C398:F398"/>
    <mergeCell ref="D425:F425"/>
    <mergeCell ref="C428:G428"/>
    <mergeCell ref="C430:F430"/>
    <mergeCell ref="D475:F475"/>
    <mergeCell ref="D450:F450"/>
    <mergeCell ref="C454:G454"/>
    <mergeCell ref="C456:F4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">
    <tabColor rgb="FFFF0000"/>
  </sheetPr>
  <dimension ref="C1:H289"/>
  <sheetViews>
    <sheetView workbookViewId="0" topLeftCell="A1">
      <pane ySplit="3" topLeftCell="A4" activePane="bottomLeft" state="frozen"/>
      <selection pane="topLeft" activeCell="F152" sqref="F152"/>
      <selection pane="bottomLeft" activeCell="F152" sqref="F152"/>
    </sheetView>
  </sheetViews>
  <sheetFormatPr defaultColWidth="11.421875" defaultRowHeight="15"/>
  <cols>
    <col min="1" max="2" width="11.421875" style="21" customWidth="1"/>
    <col min="3" max="3" width="25.7109375" style="21" customWidth="1"/>
    <col min="4" max="5" width="11.421875" style="21" customWidth="1"/>
    <col min="6" max="6" width="11.421875" style="118" customWidth="1"/>
    <col min="7" max="7" width="12.00390625" style="118" customWidth="1"/>
    <col min="8" max="16384" width="11.421875" style="21" customWidth="1"/>
  </cols>
  <sheetData>
    <row r="1" spans="3:8" ht="19.5">
      <c r="C1" s="550" t="s">
        <v>98</v>
      </c>
      <c r="D1" s="550"/>
      <c r="E1" s="550"/>
      <c r="F1" s="550"/>
      <c r="G1" s="550"/>
      <c r="H1" s="550"/>
    </row>
    <row r="3" spans="3:8" ht="21">
      <c r="C3" s="551" t="s">
        <v>413</v>
      </c>
      <c r="D3" s="551"/>
      <c r="E3" s="551"/>
      <c r="F3" s="551"/>
      <c r="G3" s="551"/>
      <c r="H3" s="551"/>
    </row>
    <row r="5" spans="3:7" ht="19.5" thickBot="1">
      <c r="C5" s="546" t="str">
        <f>PLATOS!E8</f>
        <v>Chicha de Arroz</v>
      </c>
      <c r="D5" s="546"/>
      <c r="E5" s="546"/>
      <c r="F5" s="546"/>
      <c r="G5" s="546"/>
    </row>
    <row r="6" spans="4:7" ht="15.75" thickBot="1">
      <c r="D6" s="31" t="s">
        <v>96</v>
      </c>
      <c r="E6" s="31"/>
      <c r="F6" s="119" t="s">
        <v>95</v>
      </c>
      <c r="G6" s="113" t="s">
        <v>97</v>
      </c>
    </row>
    <row r="7" spans="3:7" ht="15.75" thickBot="1">
      <c r="C7" s="547" t="s">
        <v>91</v>
      </c>
      <c r="D7" s="548"/>
      <c r="E7" s="548"/>
      <c r="F7" s="549"/>
      <c r="G7" s="114">
        <f>SUM(G8:G16)</f>
        <v>0.1363626</v>
      </c>
    </row>
    <row r="8" spans="3:7" ht="15">
      <c r="C8" s="25" t="s">
        <v>298</v>
      </c>
      <c r="D8" s="25">
        <v>22.73</v>
      </c>
      <c r="E8" s="25" t="s">
        <v>284</v>
      </c>
      <c r="F8" s="120">
        <f>'LISTA DE PRODUCTOS'!$G$71</f>
        <v>0.0008800000000000001</v>
      </c>
      <c r="G8" s="115">
        <f aca="true" t="shared" si="0" ref="G8:G11">D8*F8</f>
        <v>0.020002400000000004</v>
      </c>
    </row>
    <row r="9" spans="3:7" ht="15">
      <c r="C9" s="25" t="s">
        <v>299</v>
      </c>
      <c r="D9" s="25">
        <v>27.27</v>
      </c>
      <c r="E9" s="25" t="s">
        <v>284</v>
      </c>
      <c r="F9" s="120">
        <f>'LISTA DE PRODUCTOS'!$G$89</f>
        <v>0.0022</v>
      </c>
      <c r="G9" s="115">
        <f t="shared" si="0"/>
        <v>0.059994000000000006</v>
      </c>
    </row>
    <row r="10" spans="3:7" ht="15">
      <c r="C10" s="25" t="s">
        <v>300</v>
      </c>
      <c r="D10" s="25">
        <v>9.09</v>
      </c>
      <c r="E10" s="25" t="s">
        <v>284</v>
      </c>
      <c r="F10" s="120">
        <f>'LISTA DE PRODUCTOS'!$G$86</f>
        <v>0.0022</v>
      </c>
      <c r="G10" s="115">
        <f t="shared" si="0"/>
        <v>0.019998000000000002</v>
      </c>
    </row>
    <row r="11" spans="3:7" ht="15">
      <c r="C11" s="25" t="s">
        <v>301</v>
      </c>
      <c r="D11" s="25">
        <v>0.15</v>
      </c>
      <c r="E11" s="25" t="s">
        <v>284</v>
      </c>
      <c r="F11" s="120">
        <f>'LISTA DE PRODUCTOS'!$G$82</f>
        <v>0.0022</v>
      </c>
      <c r="G11" s="115">
        <f t="shared" si="0"/>
        <v>0.00033</v>
      </c>
    </row>
    <row r="12" spans="3:7" ht="15">
      <c r="C12" s="27" t="s">
        <v>302</v>
      </c>
      <c r="D12" s="25">
        <v>0.15</v>
      </c>
      <c r="E12" s="27" t="s">
        <v>284</v>
      </c>
      <c r="F12" s="120">
        <f>'LISTA DE PRODUCTOS'!$G$75</f>
        <v>0.0022</v>
      </c>
      <c r="G12" s="115">
        <f aca="true" t="shared" si="1" ref="G12:G28">D12*F12</f>
        <v>0.00033</v>
      </c>
    </row>
    <row r="13" spans="3:7" ht="15">
      <c r="C13" s="27" t="s">
        <v>303</v>
      </c>
      <c r="D13" s="27">
        <v>0.1</v>
      </c>
      <c r="E13" s="27" t="s">
        <v>284</v>
      </c>
      <c r="F13" s="115">
        <f>'LISTA DE PRODUCTOS'!$G$83</f>
        <v>0.0033000000000000004</v>
      </c>
      <c r="G13" s="115">
        <f t="shared" si="1"/>
        <v>0.00033000000000000005</v>
      </c>
    </row>
    <row r="14" spans="3:7" ht="15">
      <c r="C14" s="27" t="s">
        <v>402</v>
      </c>
      <c r="D14" s="27">
        <v>0.05</v>
      </c>
      <c r="E14" s="27" t="s">
        <v>284</v>
      </c>
      <c r="F14" s="115">
        <f>'LISTA DE PRODUCTOS'!$G$76</f>
        <v>0.0022</v>
      </c>
      <c r="G14" s="115">
        <f t="shared" si="1"/>
        <v>0.00011000000000000002</v>
      </c>
    </row>
    <row r="15" spans="3:7" ht="15">
      <c r="C15" s="27" t="s">
        <v>304</v>
      </c>
      <c r="D15" s="27">
        <v>0.05</v>
      </c>
      <c r="E15" s="27" t="s">
        <v>284</v>
      </c>
      <c r="F15" s="115">
        <f>'LISTA DE PRODUCTOS'!$G$52</f>
        <v>0.00528</v>
      </c>
      <c r="G15" s="115">
        <f t="shared" si="1"/>
        <v>0.000264</v>
      </c>
    </row>
    <row r="16" spans="3:7" ht="15">
      <c r="C16" s="27" t="s">
        <v>305</v>
      </c>
      <c r="D16" s="27">
        <v>45.46</v>
      </c>
      <c r="E16" s="27" t="s">
        <v>284</v>
      </c>
      <c r="F16" s="115">
        <f>'LISTA DE PRODUCTOS'!$G$72</f>
        <v>0.0007700000000000001</v>
      </c>
      <c r="G16" s="115">
        <f t="shared" si="1"/>
        <v>0.035004200000000006</v>
      </c>
    </row>
    <row r="17" spans="3:7" ht="15.75" thickBot="1">
      <c r="C17" s="2"/>
      <c r="D17" s="2"/>
      <c r="E17" s="2"/>
      <c r="F17" s="136"/>
      <c r="G17" s="136"/>
    </row>
    <row r="18" spans="3:7" ht="15.75" thickBot="1">
      <c r="C18" s="135" t="s">
        <v>92</v>
      </c>
      <c r="D18" s="38" t="s">
        <v>185</v>
      </c>
      <c r="E18" s="39"/>
      <c r="F18" s="122" t="s">
        <v>184</v>
      </c>
      <c r="G18" s="116">
        <f>SUM(G19:G24)</f>
        <v>0.08666666666666667</v>
      </c>
    </row>
    <row r="19" spans="3:7" ht="15">
      <c r="C19" s="41" t="s">
        <v>186</v>
      </c>
      <c r="D19" s="40"/>
      <c r="E19" s="40"/>
      <c r="F19" s="120"/>
      <c r="G19" s="115"/>
    </row>
    <row r="20" spans="3:7" ht="15">
      <c r="C20" s="25" t="s">
        <v>140</v>
      </c>
      <c r="D20" s="67">
        <f>'TIEMPO P.P.'!$F$8/'TIEMPO P.P.'!$H$3</f>
        <v>0.016</v>
      </c>
      <c r="E20" s="67"/>
      <c r="F20" s="120">
        <f>IF(DATOS!$I$9&gt;0,(DATOS!$C$4*'TIEMPO P.P.'!$I$3)/240,0)</f>
        <v>0</v>
      </c>
      <c r="G20" s="115">
        <f>D20*F20</f>
        <v>0</v>
      </c>
    </row>
    <row r="21" spans="3:7" ht="15">
      <c r="C21" s="25" t="s">
        <v>78</v>
      </c>
      <c r="D21" s="67">
        <f>'TIEMPO P.P.'!$F$19/'TIEMPO P.P.'!$H$3</f>
        <v>0.03022222222222222</v>
      </c>
      <c r="E21" s="67"/>
      <c r="F21" s="120">
        <f>IF(DATOS!$J$9&gt;0,DATOS!$C$5*'TIEMPO P.P.'!$I$14/240,0)</f>
        <v>0</v>
      </c>
      <c r="G21" s="115">
        <f>F21*D21</f>
        <v>0</v>
      </c>
    </row>
    <row r="22" spans="3:7" ht="15">
      <c r="C22" s="41" t="s">
        <v>187</v>
      </c>
      <c r="D22" s="42"/>
      <c r="E22" s="42"/>
      <c r="F22" s="120"/>
      <c r="G22" s="115"/>
    </row>
    <row r="23" spans="3:7" ht="15">
      <c r="C23" s="27" t="s">
        <v>140</v>
      </c>
      <c r="D23" s="68">
        <f>D20</f>
        <v>0.016</v>
      </c>
      <c r="E23" s="68"/>
      <c r="F23" s="115">
        <f>IF(DATOS!$I$14&gt;0,DATOS!$C$7*'TIEMPO P.P.'!$I$3/8,0)</f>
        <v>1.875</v>
      </c>
      <c r="G23" s="115">
        <f>D23*F23</f>
        <v>0.03</v>
      </c>
    </row>
    <row r="24" spans="3:7" ht="15.75" thickBot="1">
      <c r="C24" s="22" t="s">
        <v>78</v>
      </c>
      <c r="D24" s="71">
        <f>D21</f>
        <v>0.03022222222222222</v>
      </c>
      <c r="E24" s="71"/>
      <c r="F24" s="115">
        <f>IF(DATOS!$J$14&gt;0,DATOS!$C$8*'TIEMPO P.P.'!$I$14/8,0)</f>
        <v>1.875</v>
      </c>
      <c r="G24" s="115">
        <f>D24*F24</f>
        <v>0.056666666666666664</v>
      </c>
    </row>
    <row r="25" spans="3:7" ht="15.75" thickBot="1">
      <c r="C25" s="135" t="s">
        <v>93</v>
      </c>
      <c r="D25" s="38" t="s">
        <v>193</v>
      </c>
      <c r="E25" s="39"/>
      <c r="F25" s="122" t="s">
        <v>198</v>
      </c>
      <c r="G25" s="116">
        <f>SUM(G26:G28)</f>
        <v>0.10208245701058201</v>
      </c>
    </row>
    <row r="26" spans="3:7" ht="15">
      <c r="C26" s="25" t="s">
        <v>191</v>
      </c>
      <c r="D26" s="70">
        <f>('TIEMPO P.P.'!$E$8+'TIEMPO P.P.'!$E$19)/2</f>
        <v>0.08666666666666667</v>
      </c>
      <c r="E26" s="70"/>
      <c r="F26" s="120">
        <f>IF(DATOS!$F$51=0,DATOS!$F$20,DATOS!$F$51)</f>
        <v>1.1778745039682539</v>
      </c>
      <c r="G26" s="115">
        <f>D26*$F$26</f>
        <v>0.10208245701058201</v>
      </c>
    </row>
    <row r="27" spans="3:7" ht="15">
      <c r="C27" s="27" t="s">
        <v>192</v>
      </c>
      <c r="D27" s="69">
        <f>D26</f>
        <v>0.08666666666666667</v>
      </c>
      <c r="E27" s="69"/>
      <c r="F27" s="115">
        <f>DATOS!$F$65/ORDEN!$D$34</f>
        <v>0</v>
      </c>
      <c r="G27" s="115">
        <f>D27*$F$27</f>
        <v>0</v>
      </c>
    </row>
    <row r="28" spans="3:7" ht="15.75" thickBot="1">
      <c r="C28" s="27"/>
      <c r="D28" s="27"/>
      <c r="E28" s="27"/>
      <c r="F28" s="115"/>
      <c r="G28" s="115">
        <f t="shared" si="1"/>
        <v>0</v>
      </c>
    </row>
    <row r="29" spans="3:7" ht="17.25" thickBot="1" thickTop="1">
      <c r="C29" s="28"/>
      <c r="D29" s="543" t="s">
        <v>94</v>
      </c>
      <c r="E29" s="544"/>
      <c r="F29" s="545"/>
      <c r="G29" s="117">
        <f>G7+G18+G25</f>
        <v>0.32511172367724867</v>
      </c>
    </row>
    <row r="30" ht="15.75" thickTop="1"/>
    <row r="32" spans="3:7" ht="19.5" thickBot="1">
      <c r="C32" s="546" t="str">
        <f>PLATOS!E9</f>
        <v>Colas</v>
      </c>
      <c r="D32" s="546"/>
      <c r="E32" s="546"/>
      <c r="F32" s="546"/>
      <c r="G32" s="546"/>
    </row>
    <row r="33" spans="4:7" ht="15.75" thickBot="1">
      <c r="D33" s="31" t="s">
        <v>96</v>
      </c>
      <c r="E33" s="31"/>
      <c r="F33" s="119" t="s">
        <v>95</v>
      </c>
      <c r="G33" s="113" t="s">
        <v>97</v>
      </c>
    </row>
    <row r="34" spans="3:7" ht="15.75" thickBot="1">
      <c r="C34" s="547" t="s">
        <v>91</v>
      </c>
      <c r="D34" s="548"/>
      <c r="E34" s="548"/>
      <c r="F34" s="549"/>
      <c r="G34" s="114">
        <f>SUM(G35:G35)</f>
        <v>0.08500396666666668</v>
      </c>
    </row>
    <row r="35" spans="3:7" ht="15">
      <c r="C35" s="25" t="s">
        <v>383</v>
      </c>
      <c r="D35" s="25">
        <v>136.37</v>
      </c>
      <c r="E35" s="25" t="s">
        <v>284</v>
      </c>
      <c r="F35" s="120">
        <f>'LISTA DE PRODUCTOS'!$G$24</f>
        <v>0.0006233333333333334</v>
      </c>
      <c r="G35" s="115">
        <f>D35*F35</f>
        <v>0.08500396666666668</v>
      </c>
    </row>
    <row r="36" spans="3:7" ht="15.75" thickBot="1">
      <c r="C36" s="2"/>
      <c r="D36" s="2"/>
      <c r="E36" s="2"/>
      <c r="F36" s="136"/>
      <c r="G36" s="136"/>
    </row>
    <row r="37" spans="3:7" ht="15.75" thickBot="1">
      <c r="C37" s="135" t="s">
        <v>92</v>
      </c>
      <c r="D37" s="38" t="s">
        <v>185</v>
      </c>
      <c r="E37" s="39"/>
      <c r="F37" s="122" t="s">
        <v>184</v>
      </c>
      <c r="G37" s="116">
        <f>SUM(G38:G43)</f>
        <v>0.08666666666666667</v>
      </c>
    </row>
    <row r="38" spans="3:7" ht="15">
      <c r="C38" s="41" t="s">
        <v>186</v>
      </c>
      <c r="D38" s="40"/>
      <c r="E38" s="40"/>
      <c r="F38" s="120"/>
      <c r="G38" s="115"/>
    </row>
    <row r="39" spans="3:7" ht="15">
      <c r="C39" s="25" t="s">
        <v>140</v>
      </c>
      <c r="D39" s="67">
        <f>'TIEMPO P.P.'!$F$8/'TIEMPO P.P.'!$H$3</f>
        <v>0.016</v>
      </c>
      <c r="E39" s="67"/>
      <c r="F39" s="120">
        <f>IF(DATOS!$I$9&gt;0,(DATOS!$C$4*'TIEMPO P.P.'!$I$3)/240,0)</f>
        <v>0</v>
      </c>
      <c r="G39" s="115">
        <f>D39*F39</f>
        <v>0</v>
      </c>
    </row>
    <row r="40" spans="3:7" ht="15">
      <c r="C40" s="25" t="s">
        <v>78</v>
      </c>
      <c r="D40" s="67">
        <f>'TIEMPO P.P.'!$F$19/'TIEMPO P.P.'!$H$3</f>
        <v>0.03022222222222222</v>
      </c>
      <c r="E40" s="67"/>
      <c r="F40" s="120">
        <f>IF(DATOS!$J$9&gt;0,DATOS!$C$5*'TIEMPO P.P.'!$I$14/240,0)</f>
        <v>0</v>
      </c>
      <c r="G40" s="115">
        <f>F40*D40</f>
        <v>0</v>
      </c>
    </row>
    <row r="41" spans="3:7" ht="15">
      <c r="C41" s="41" t="s">
        <v>187</v>
      </c>
      <c r="D41" s="42"/>
      <c r="E41" s="42"/>
      <c r="F41" s="120"/>
      <c r="G41" s="115"/>
    </row>
    <row r="42" spans="3:7" ht="15">
      <c r="C42" s="27" t="s">
        <v>140</v>
      </c>
      <c r="D42" s="68">
        <f>D39</f>
        <v>0.016</v>
      </c>
      <c r="E42" s="68"/>
      <c r="F42" s="115">
        <f>IF(DATOS!$I$14&gt;0,DATOS!$C$7*'TIEMPO P.P.'!$I$3/8,0)</f>
        <v>1.875</v>
      </c>
      <c r="G42" s="115">
        <f>D42*F42</f>
        <v>0.03</v>
      </c>
    </row>
    <row r="43" spans="3:7" ht="15.75" thickBot="1">
      <c r="C43" s="22" t="s">
        <v>78</v>
      </c>
      <c r="D43" s="71">
        <f>D40</f>
        <v>0.03022222222222222</v>
      </c>
      <c r="E43" s="71"/>
      <c r="F43" s="115">
        <f>IF(DATOS!$J$14&gt;0,DATOS!$C$8*'TIEMPO P.P.'!$I$14/8,0)</f>
        <v>1.875</v>
      </c>
      <c r="G43" s="115">
        <f>D43*F43</f>
        <v>0.056666666666666664</v>
      </c>
    </row>
    <row r="44" spans="3:7" ht="15.75" thickBot="1">
      <c r="C44" s="135" t="s">
        <v>93</v>
      </c>
      <c r="D44" s="38" t="s">
        <v>193</v>
      </c>
      <c r="E44" s="39"/>
      <c r="F44" s="122" t="s">
        <v>198</v>
      </c>
      <c r="G44" s="116">
        <f>SUM(G45:G47)</f>
        <v>0.10208245701058201</v>
      </c>
    </row>
    <row r="45" spans="3:7" ht="15">
      <c r="C45" s="25" t="s">
        <v>191</v>
      </c>
      <c r="D45" s="70">
        <f>('TIEMPO P.P.'!$E$8+'TIEMPO P.P.'!$E$19)/2</f>
        <v>0.08666666666666667</v>
      </c>
      <c r="E45" s="70"/>
      <c r="F45" s="120">
        <f>IF(DATOS!$F$51=0,DATOS!$F$20,DATOS!$F$51)</f>
        <v>1.1778745039682539</v>
      </c>
      <c r="G45" s="115">
        <f>D45*$F$26</f>
        <v>0.10208245701058201</v>
      </c>
    </row>
    <row r="46" spans="3:7" ht="15">
      <c r="C46" s="27" t="s">
        <v>192</v>
      </c>
      <c r="D46" s="69">
        <f>D45</f>
        <v>0.08666666666666667</v>
      </c>
      <c r="E46" s="69"/>
      <c r="F46" s="115">
        <f>DATOS!$F$65/ORDEN!$D$34</f>
        <v>0</v>
      </c>
      <c r="G46" s="115">
        <f>D46*$F$27</f>
        <v>0</v>
      </c>
    </row>
    <row r="47" spans="3:7" ht="15.75" thickBot="1">
      <c r="C47" s="27"/>
      <c r="D47" s="27"/>
      <c r="E47" s="27"/>
      <c r="F47" s="115"/>
      <c r="G47" s="115">
        <f aca="true" t="shared" si="2" ref="G47">D47*F47</f>
        <v>0</v>
      </c>
    </row>
    <row r="48" spans="3:7" ht="17.25" thickBot="1" thickTop="1">
      <c r="C48" s="28"/>
      <c r="D48" s="543" t="s">
        <v>94</v>
      </c>
      <c r="E48" s="544"/>
      <c r="F48" s="545"/>
      <c r="G48" s="117">
        <f>G34+G37+G44</f>
        <v>0.2737530903439154</v>
      </c>
    </row>
    <row r="49" ht="15.75" thickTop="1"/>
    <row r="52" spans="3:7" ht="19.5" thickBot="1">
      <c r="C52" s="546" t="str">
        <f>PLATOS!E10</f>
        <v>Colas y Minerales</v>
      </c>
      <c r="D52" s="546"/>
      <c r="E52" s="546"/>
      <c r="F52" s="546"/>
      <c r="G52" s="546"/>
    </row>
    <row r="53" spans="4:7" ht="15.75" thickBot="1">
      <c r="D53" s="31" t="s">
        <v>96</v>
      </c>
      <c r="E53" s="31"/>
      <c r="F53" s="119" t="s">
        <v>95</v>
      </c>
      <c r="G53" s="113" t="s">
        <v>97</v>
      </c>
    </row>
    <row r="54" spans="3:7" ht="15.75" thickBot="1">
      <c r="C54" s="547" t="s">
        <v>91</v>
      </c>
      <c r="D54" s="548"/>
      <c r="E54" s="548"/>
      <c r="F54" s="549"/>
      <c r="G54" s="114">
        <f>SUM(G55:G56)</f>
        <v>0.16000746666666668</v>
      </c>
    </row>
    <row r="55" spans="3:7" ht="15">
      <c r="C55" s="25" t="s">
        <v>383</v>
      </c>
      <c r="D55" s="25">
        <v>136.37</v>
      </c>
      <c r="E55" s="25" t="s">
        <v>284</v>
      </c>
      <c r="F55" s="120">
        <f>'LISTA DE PRODUCTOS'!$G$24</f>
        <v>0.0006233333333333334</v>
      </c>
      <c r="G55" s="115">
        <f>D55*F55</f>
        <v>0.08500396666666668</v>
      </c>
    </row>
    <row r="56" spans="3:7" ht="15">
      <c r="C56" s="27" t="s">
        <v>384</v>
      </c>
      <c r="D56" s="25">
        <v>136.37</v>
      </c>
      <c r="E56" s="27" t="s">
        <v>284</v>
      </c>
      <c r="F56" s="115">
        <f>'LISTA DE PRODUCTOS'!$G$70</f>
        <v>0.00055</v>
      </c>
      <c r="G56" s="115">
        <f aca="true" t="shared" si="3" ref="G56">D56*F56</f>
        <v>0.0750035</v>
      </c>
    </row>
    <row r="57" spans="3:7" ht="15.75" thickBot="1">
      <c r="C57" s="2"/>
      <c r="D57" s="2"/>
      <c r="E57" s="2"/>
      <c r="F57" s="136"/>
      <c r="G57" s="136"/>
    </row>
    <row r="58" spans="3:7" ht="15.75" thickBot="1">
      <c r="C58" s="135" t="s">
        <v>92</v>
      </c>
      <c r="D58" s="38" t="s">
        <v>185</v>
      </c>
      <c r="E58" s="39"/>
      <c r="F58" s="122" t="s">
        <v>184</v>
      </c>
      <c r="G58" s="116">
        <f>SUM(G59:G64)</f>
        <v>0.08666666666666667</v>
      </c>
    </row>
    <row r="59" spans="3:7" ht="15">
      <c r="C59" s="41" t="s">
        <v>186</v>
      </c>
      <c r="D59" s="40"/>
      <c r="E59" s="40"/>
      <c r="F59" s="120"/>
      <c r="G59" s="115"/>
    </row>
    <row r="60" spans="3:7" ht="15">
      <c r="C60" s="25" t="s">
        <v>140</v>
      </c>
      <c r="D60" s="67">
        <f>'TIEMPO P.P.'!$F$8/'TIEMPO P.P.'!$H$3</f>
        <v>0.016</v>
      </c>
      <c r="E60" s="67"/>
      <c r="F60" s="120">
        <f>IF(DATOS!$I$9&gt;0,(DATOS!$C$4*'TIEMPO P.P.'!$I$3)/240,0)</f>
        <v>0</v>
      </c>
      <c r="G60" s="115">
        <f>D60*F60</f>
        <v>0</v>
      </c>
    </row>
    <row r="61" spans="3:7" ht="15">
      <c r="C61" s="25" t="s">
        <v>78</v>
      </c>
      <c r="D61" s="67">
        <f>'TIEMPO P.P.'!$F$19/'TIEMPO P.P.'!$H$3</f>
        <v>0.03022222222222222</v>
      </c>
      <c r="E61" s="67"/>
      <c r="F61" s="120">
        <f>IF(DATOS!$J$9&gt;0,DATOS!$C$5*'TIEMPO P.P.'!$I$14/240,0)</f>
        <v>0</v>
      </c>
      <c r="G61" s="115">
        <f>F61*D61</f>
        <v>0</v>
      </c>
    </row>
    <row r="62" spans="3:7" ht="15">
      <c r="C62" s="41" t="s">
        <v>187</v>
      </c>
      <c r="D62" s="42"/>
      <c r="E62" s="42"/>
      <c r="F62" s="120"/>
      <c r="G62" s="115"/>
    </row>
    <row r="63" spans="3:7" ht="15">
      <c r="C63" s="27" t="s">
        <v>140</v>
      </c>
      <c r="D63" s="68">
        <f>D60</f>
        <v>0.016</v>
      </c>
      <c r="E63" s="68"/>
      <c r="F63" s="115">
        <f>IF(DATOS!$I$14&gt;0,DATOS!$C$7*'TIEMPO P.P.'!$I$3/8,0)</f>
        <v>1.875</v>
      </c>
      <c r="G63" s="115">
        <f>D63*F63</f>
        <v>0.03</v>
      </c>
    </row>
    <row r="64" spans="3:7" ht="15.75" thickBot="1">
      <c r="C64" s="22" t="s">
        <v>78</v>
      </c>
      <c r="D64" s="71">
        <f>D61</f>
        <v>0.03022222222222222</v>
      </c>
      <c r="E64" s="71"/>
      <c r="F64" s="115">
        <f>IF(DATOS!$J$14&gt;0,DATOS!$C$8*'TIEMPO P.P.'!$I$14/8,0)</f>
        <v>1.875</v>
      </c>
      <c r="G64" s="115">
        <f>D64*F64</f>
        <v>0.056666666666666664</v>
      </c>
    </row>
    <row r="65" spans="3:7" ht="15.75" thickBot="1">
      <c r="C65" s="135" t="s">
        <v>93</v>
      </c>
      <c r="D65" s="38" t="s">
        <v>193</v>
      </c>
      <c r="E65" s="39"/>
      <c r="F65" s="122" t="s">
        <v>198</v>
      </c>
      <c r="G65" s="116">
        <f>SUM(G66:G68)</f>
        <v>0.10208245701058201</v>
      </c>
    </row>
    <row r="66" spans="3:7" ht="15">
      <c r="C66" s="25" t="s">
        <v>191</v>
      </c>
      <c r="D66" s="70">
        <f>('TIEMPO P.P.'!$E$8+'TIEMPO P.P.'!$E$19)/2</f>
        <v>0.08666666666666667</v>
      </c>
      <c r="E66" s="70"/>
      <c r="F66" s="120">
        <f>IF(DATOS!$F$51=0,DATOS!$F$20,DATOS!$F$51)</f>
        <v>1.1778745039682539</v>
      </c>
      <c r="G66" s="115">
        <f>D66*$F$26</f>
        <v>0.10208245701058201</v>
      </c>
    </row>
    <row r="67" spans="3:7" ht="15">
      <c r="C67" s="27" t="s">
        <v>192</v>
      </c>
      <c r="D67" s="69">
        <f>D66</f>
        <v>0.08666666666666667</v>
      </c>
      <c r="E67" s="69"/>
      <c r="F67" s="115">
        <f>DATOS!$F$65/ORDEN!$D$34</f>
        <v>0</v>
      </c>
      <c r="G67" s="115">
        <f>D67*$F$27</f>
        <v>0</v>
      </c>
    </row>
    <row r="68" spans="3:7" ht="15.75" thickBot="1">
      <c r="C68" s="27"/>
      <c r="D68" s="27"/>
      <c r="E68" s="27"/>
      <c r="F68" s="115"/>
      <c r="G68" s="115">
        <f aca="true" t="shared" si="4" ref="G68">D68*F68</f>
        <v>0</v>
      </c>
    </row>
    <row r="69" spans="3:7" ht="17.25" thickBot="1" thickTop="1">
      <c r="C69" s="28"/>
      <c r="D69" s="543" t="s">
        <v>94</v>
      </c>
      <c r="E69" s="544"/>
      <c r="F69" s="545"/>
      <c r="G69" s="117">
        <f>G54+G58+G65</f>
        <v>0.3487565903439154</v>
      </c>
    </row>
    <row r="70" ht="15.75" thickTop="1"/>
    <row r="72" spans="3:7" ht="19.5" thickBot="1">
      <c r="C72" s="546" t="str">
        <f>PLATOS!E11</f>
        <v>Jugo de Guayaba</v>
      </c>
      <c r="D72" s="546"/>
      <c r="E72" s="546"/>
      <c r="F72" s="546"/>
      <c r="G72" s="546"/>
    </row>
    <row r="73" spans="4:7" ht="15.75" thickBot="1">
      <c r="D73" s="31" t="s">
        <v>96</v>
      </c>
      <c r="E73" s="31"/>
      <c r="F73" s="119" t="s">
        <v>95</v>
      </c>
      <c r="G73" s="113" t="s">
        <v>97</v>
      </c>
    </row>
    <row r="74" spans="3:7" ht="15.75" thickBot="1">
      <c r="C74" s="547" t="s">
        <v>91</v>
      </c>
      <c r="D74" s="548"/>
      <c r="E74" s="548"/>
      <c r="F74" s="549"/>
      <c r="G74" s="114">
        <f>SUM(G75:G76)</f>
        <v>0.18500020000000003</v>
      </c>
    </row>
    <row r="75" spans="3:7" ht="15">
      <c r="C75" s="25" t="s">
        <v>385</v>
      </c>
      <c r="D75" s="25">
        <v>68.18</v>
      </c>
      <c r="E75" s="25" t="s">
        <v>284</v>
      </c>
      <c r="F75" s="120">
        <f>'LISTA DE PRODUCTOS'!$G$81</f>
        <v>0.0022</v>
      </c>
      <c r="G75" s="115">
        <f>D75*F75</f>
        <v>0.14999600000000002</v>
      </c>
    </row>
    <row r="76" spans="3:7" ht="15">
      <c r="C76" s="27" t="s">
        <v>386</v>
      </c>
      <c r="D76" s="27">
        <v>45.46</v>
      </c>
      <c r="E76" s="27" t="s">
        <v>284</v>
      </c>
      <c r="F76" s="115">
        <f>'LISTA DE PRODUCTOS'!$G$72</f>
        <v>0.0007700000000000001</v>
      </c>
      <c r="G76" s="115">
        <f aca="true" t="shared" si="5" ref="G76">D76*F76</f>
        <v>0.035004200000000006</v>
      </c>
    </row>
    <row r="77" spans="3:7" ht="15.75" thickBot="1">
      <c r="C77" s="2"/>
      <c r="D77" s="2"/>
      <c r="E77" s="2"/>
      <c r="F77" s="136"/>
      <c r="G77" s="136"/>
    </row>
    <row r="78" spans="3:7" ht="15.75" thickBot="1">
      <c r="C78" s="135" t="s">
        <v>92</v>
      </c>
      <c r="D78" s="38" t="s">
        <v>185</v>
      </c>
      <c r="E78" s="39"/>
      <c r="F78" s="122" t="s">
        <v>184</v>
      </c>
      <c r="G78" s="116">
        <f>SUM(G79:G84)</f>
        <v>0.08666666666666667</v>
      </c>
    </row>
    <row r="79" spans="3:7" ht="15">
      <c r="C79" s="41" t="s">
        <v>186</v>
      </c>
      <c r="D79" s="40"/>
      <c r="E79" s="40"/>
      <c r="F79" s="120"/>
      <c r="G79" s="115"/>
    </row>
    <row r="80" spans="3:7" ht="15">
      <c r="C80" s="25" t="s">
        <v>140</v>
      </c>
      <c r="D80" s="67">
        <f>'TIEMPO P.P.'!$F$8/'TIEMPO P.P.'!$H$3</f>
        <v>0.016</v>
      </c>
      <c r="E80" s="67"/>
      <c r="F80" s="120">
        <f>IF(DATOS!$I$9&gt;0,(DATOS!$C$4*'TIEMPO P.P.'!$I$3)/240,0)</f>
        <v>0</v>
      </c>
      <c r="G80" s="115">
        <f>D80*F80</f>
        <v>0</v>
      </c>
    </row>
    <row r="81" spans="3:7" ht="15">
      <c r="C81" s="25" t="s">
        <v>78</v>
      </c>
      <c r="D81" s="67">
        <f>'TIEMPO P.P.'!$F$19/'TIEMPO P.P.'!$H$3</f>
        <v>0.03022222222222222</v>
      </c>
      <c r="E81" s="67"/>
      <c r="F81" s="120">
        <f>IF(DATOS!$J$9&gt;0,DATOS!$C$5*'TIEMPO P.P.'!$I$14/240,0)</f>
        <v>0</v>
      </c>
      <c r="G81" s="115">
        <f>F81*D81</f>
        <v>0</v>
      </c>
    </row>
    <row r="82" spans="3:7" ht="15">
      <c r="C82" s="41" t="s">
        <v>187</v>
      </c>
      <c r="D82" s="42"/>
      <c r="E82" s="42"/>
      <c r="F82" s="120"/>
      <c r="G82" s="115"/>
    </row>
    <row r="83" spans="3:7" ht="15">
      <c r="C83" s="27" t="s">
        <v>140</v>
      </c>
      <c r="D83" s="68">
        <f>D80</f>
        <v>0.016</v>
      </c>
      <c r="E83" s="68"/>
      <c r="F83" s="115">
        <f>IF(DATOS!$I$14&gt;0,DATOS!$C$7*'TIEMPO P.P.'!$I$3/8,0)</f>
        <v>1.875</v>
      </c>
      <c r="G83" s="115">
        <f>D83*F83</f>
        <v>0.03</v>
      </c>
    </row>
    <row r="84" spans="3:7" ht="15.75" thickBot="1">
      <c r="C84" s="22" t="s">
        <v>78</v>
      </c>
      <c r="D84" s="71">
        <f>D81</f>
        <v>0.03022222222222222</v>
      </c>
      <c r="E84" s="71"/>
      <c r="F84" s="115">
        <f>IF(DATOS!$J$14&gt;0,DATOS!$C$8*'TIEMPO P.P.'!$I$14/8,0)</f>
        <v>1.875</v>
      </c>
      <c r="G84" s="115">
        <f>D84*F84</f>
        <v>0.056666666666666664</v>
      </c>
    </row>
    <row r="85" spans="3:7" ht="15.75" thickBot="1">
      <c r="C85" s="135" t="s">
        <v>93</v>
      </c>
      <c r="D85" s="38" t="s">
        <v>193</v>
      </c>
      <c r="E85" s="39"/>
      <c r="F85" s="122" t="s">
        <v>198</v>
      </c>
      <c r="G85" s="116">
        <f>SUM(G86:G88)</f>
        <v>0.10208245701058201</v>
      </c>
    </row>
    <row r="86" spans="3:7" ht="15">
      <c r="C86" s="25" t="s">
        <v>191</v>
      </c>
      <c r="D86" s="70">
        <f>('TIEMPO P.P.'!$E$8+'TIEMPO P.P.'!$E$19)/2</f>
        <v>0.08666666666666667</v>
      </c>
      <c r="E86" s="70"/>
      <c r="F86" s="120">
        <f>IF(DATOS!$F$51=0,DATOS!$F$20,DATOS!$F$51)</f>
        <v>1.1778745039682539</v>
      </c>
      <c r="G86" s="115">
        <f>D86*$F$26</f>
        <v>0.10208245701058201</v>
      </c>
    </row>
    <row r="87" spans="3:7" ht="15">
      <c r="C87" s="27" t="s">
        <v>192</v>
      </c>
      <c r="D87" s="69">
        <f>D86</f>
        <v>0.08666666666666667</v>
      </c>
      <c r="E87" s="69"/>
      <c r="F87" s="115">
        <f>DATOS!$F$65/ORDEN!$D$34</f>
        <v>0</v>
      </c>
      <c r="G87" s="115">
        <f>D87*$F$27</f>
        <v>0</v>
      </c>
    </row>
    <row r="88" spans="3:7" ht="15.75" thickBot="1">
      <c r="C88" s="27"/>
      <c r="D88" s="27"/>
      <c r="E88" s="27"/>
      <c r="F88" s="115"/>
      <c r="G88" s="115">
        <f aca="true" t="shared" si="6" ref="G88">D88*F88</f>
        <v>0</v>
      </c>
    </row>
    <row r="89" spans="3:7" ht="17.25" thickBot="1" thickTop="1">
      <c r="C89" s="28"/>
      <c r="D89" s="543" t="s">
        <v>94</v>
      </c>
      <c r="E89" s="544"/>
      <c r="F89" s="545"/>
      <c r="G89" s="117">
        <f>G74+G78+G85</f>
        <v>0.3737493236772487</v>
      </c>
    </row>
    <row r="90" ht="15.75" thickTop="1"/>
    <row r="93" spans="3:7" ht="19.5" thickBot="1">
      <c r="C93" s="546" t="str">
        <f>PLATOS!E12</f>
        <v>Jugo de Mora</v>
      </c>
      <c r="D93" s="546"/>
      <c r="E93" s="546"/>
      <c r="F93" s="546"/>
      <c r="G93" s="546"/>
    </row>
    <row r="94" spans="4:7" ht="15.75" thickBot="1">
      <c r="D94" s="31" t="s">
        <v>96</v>
      </c>
      <c r="E94" s="31"/>
      <c r="F94" s="119" t="s">
        <v>95</v>
      </c>
      <c r="G94" s="113" t="s">
        <v>97</v>
      </c>
    </row>
    <row r="95" spans="3:7" ht="15.75" thickBot="1">
      <c r="C95" s="547" t="s">
        <v>91</v>
      </c>
      <c r="D95" s="548"/>
      <c r="E95" s="548"/>
      <c r="F95" s="549"/>
      <c r="G95" s="114">
        <f>SUM(G96:G97)</f>
        <v>0.18500020000000003</v>
      </c>
    </row>
    <row r="96" spans="3:7" ht="15">
      <c r="C96" s="25" t="s">
        <v>387</v>
      </c>
      <c r="D96" s="25">
        <v>68.18</v>
      </c>
      <c r="E96" s="25" t="s">
        <v>284</v>
      </c>
      <c r="F96" s="115">
        <f>'LISTA DE PRODUCTOS'!$G$85</f>
        <v>0.0022</v>
      </c>
      <c r="G96" s="115">
        <f aca="true" t="shared" si="7" ref="G96:G97">D96*F96</f>
        <v>0.14999600000000002</v>
      </c>
    </row>
    <row r="97" spans="3:7" ht="15">
      <c r="C97" s="27" t="s">
        <v>386</v>
      </c>
      <c r="D97" s="27">
        <v>45.46</v>
      </c>
      <c r="E97" s="27" t="s">
        <v>284</v>
      </c>
      <c r="F97" s="115">
        <f>'LISTA DE PRODUCTOS'!$G$72</f>
        <v>0.0007700000000000001</v>
      </c>
      <c r="G97" s="115">
        <f t="shared" si="7"/>
        <v>0.035004200000000006</v>
      </c>
    </row>
    <row r="98" spans="3:7" ht="15.75" thickBot="1">
      <c r="C98" s="2"/>
      <c r="D98" s="2"/>
      <c r="E98" s="2"/>
      <c r="F98" s="136"/>
      <c r="G98" s="136"/>
    </row>
    <row r="99" spans="3:7" ht="15.75" thickBot="1">
      <c r="C99" s="135" t="s">
        <v>92</v>
      </c>
      <c r="D99" s="38" t="s">
        <v>185</v>
      </c>
      <c r="E99" s="39"/>
      <c r="F99" s="122" t="s">
        <v>184</v>
      </c>
      <c r="G99" s="116">
        <f>SUM(G100:G105)</f>
        <v>0.08666666666666667</v>
      </c>
    </row>
    <row r="100" spans="3:7" ht="15">
      <c r="C100" s="41" t="s">
        <v>186</v>
      </c>
      <c r="D100" s="40"/>
      <c r="E100" s="40"/>
      <c r="F100" s="120"/>
      <c r="G100" s="115"/>
    </row>
    <row r="101" spans="3:7" ht="15">
      <c r="C101" s="25" t="s">
        <v>140</v>
      </c>
      <c r="D101" s="67">
        <f>'TIEMPO P.P.'!$F$8/'TIEMPO P.P.'!$H$3</f>
        <v>0.016</v>
      </c>
      <c r="E101" s="67"/>
      <c r="F101" s="120">
        <f>IF(DATOS!$I$9&gt;0,(DATOS!$C$4*'TIEMPO P.P.'!$I$3)/240,0)</f>
        <v>0</v>
      </c>
      <c r="G101" s="115">
        <f>D101*F101</f>
        <v>0</v>
      </c>
    </row>
    <row r="102" spans="3:7" ht="15">
      <c r="C102" s="25" t="s">
        <v>78</v>
      </c>
      <c r="D102" s="67">
        <f>'TIEMPO P.P.'!$F$19/'TIEMPO P.P.'!$H$3</f>
        <v>0.03022222222222222</v>
      </c>
      <c r="E102" s="67"/>
      <c r="F102" s="120">
        <f>IF(DATOS!$J$9&gt;0,DATOS!$C$5*'TIEMPO P.P.'!$I$14/240,0)</f>
        <v>0</v>
      </c>
      <c r="G102" s="115">
        <f>F102*D102</f>
        <v>0</v>
      </c>
    </row>
    <row r="103" spans="3:7" ht="15">
      <c r="C103" s="41" t="s">
        <v>187</v>
      </c>
      <c r="D103" s="42"/>
      <c r="E103" s="42"/>
      <c r="F103" s="120"/>
      <c r="G103" s="115"/>
    </row>
    <row r="104" spans="3:7" ht="15">
      <c r="C104" s="27" t="s">
        <v>140</v>
      </c>
      <c r="D104" s="68">
        <f>D101</f>
        <v>0.016</v>
      </c>
      <c r="E104" s="68"/>
      <c r="F104" s="115">
        <f>IF(DATOS!$I$14&gt;0,DATOS!$C$7*'TIEMPO P.P.'!$I$3/8,0)</f>
        <v>1.875</v>
      </c>
      <c r="G104" s="115">
        <f>D104*F104</f>
        <v>0.03</v>
      </c>
    </row>
    <row r="105" spans="3:7" ht="15.75" thickBot="1">
      <c r="C105" s="22" t="s">
        <v>78</v>
      </c>
      <c r="D105" s="71">
        <f>D102</f>
        <v>0.03022222222222222</v>
      </c>
      <c r="E105" s="71"/>
      <c r="F105" s="115">
        <f>IF(DATOS!$J$14&gt;0,DATOS!$C$8*'TIEMPO P.P.'!$I$14/8,0)</f>
        <v>1.875</v>
      </c>
      <c r="G105" s="115">
        <f>D105*F105</f>
        <v>0.056666666666666664</v>
      </c>
    </row>
    <row r="106" spans="3:7" ht="15.75" thickBot="1">
      <c r="C106" s="135" t="s">
        <v>93</v>
      </c>
      <c r="D106" s="38" t="s">
        <v>193</v>
      </c>
      <c r="E106" s="39"/>
      <c r="F106" s="122" t="s">
        <v>198</v>
      </c>
      <c r="G106" s="116">
        <f>SUM(G107:G109)</f>
        <v>0.10208245701058201</v>
      </c>
    </row>
    <row r="107" spans="3:7" ht="15">
      <c r="C107" s="25" t="s">
        <v>191</v>
      </c>
      <c r="D107" s="70">
        <f>('TIEMPO P.P.'!$E$8+'TIEMPO P.P.'!$E$19)/2</f>
        <v>0.08666666666666667</v>
      </c>
      <c r="E107" s="70"/>
      <c r="F107" s="120">
        <f>IF(DATOS!$F$51=0,DATOS!$F$20,DATOS!$F$51)</f>
        <v>1.1778745039682539</v>
      </c>
      <c r="G107" s="115">
        <f>D107*$F$26</f>
        <v>0.10208245701058201</v>
      </c>
    </row>
    <row r="108" spans="3:7" ht="15">
      <c r="C108" s="27" t="s">
        <v>192</v>
      </c>
      <c r="D108" s="69">
        <f>D107</f>
        <v>0.08666666666666667</v>
      </c>
      <c r="E108" s="69"/>
      <c r="F108" s="115">
        <f>DATOS!$F$65/ORDEN!$D$34</f>
        <v>0</v>
      </c>
      <c r="G108" s="115">
        <f>D108*$F$27</f>
        <v>0</v>
      </c>
    </row>
    <row r="109" spans="3:7" ht="15.75" thickBot="1">
      <c r="C109" s="27"/>
      <c r="D109" s="27"/>
      <c r="E109" s="27"/>
      <c r="F109" s="115"/>
      <c r="G109" s="115">
        <f aca="true" t="shared" si="8" ref="G109">D109*F109</f>
        <v>0</v>
      </c>
    </row>
    <row r="110" spans="3:7" ht="17.25" thickBot="1" thickTop="1">
      <c r="C110" s="28"/>
      <c r="D110" s="543" t="s">
        <v>94</v>
      </c>
      <c r="E110" s="544"/>
      <c r="F110" s="545"/>
      <c r="G110" s="117">
        <f>G95+G99+G106</f>
        <v>0.3737493236772487</v>
      </c>
    </row>
    <row r="111" ht="15.75" thickTop="1"/>
    <row r="113" spans="3:7" ht="19.5" thickBot="1">
      <c r="C113" s="546" t="str">
        <f>PLATOS!E13</f>
        <v>Jugo de papaya</v>
      </c>
      <c r="D113" s="546"/>
      <c r="E113" s="546"/>
      <c r="F113" s="546"/>
      <c r="G113" s="546"/>
    </row>
    <row r="114" spans="4:7" ht="15.75" thickBot="1">
      <c r="D114" s="31" t="s">
        <v>96</v>
      </c>
      <c r="E114" s="31"/>
      <c r="F114" s="119" t="s">
        <v>95</v>
      </c>
      <c r="G114" s="113" t="s">
        <v>97</v>
      </c>
    </row>
    <row r="115" spans="3:7" ht="15.75" thickBot="1">
      <c r="C115" s="547" t="s">
        <v>91</v>
      </c>
      <c r="D115" s="548"/>
      <c r="E115" s="548"/>
      <c r="F115" s="549"/>
      <c r="G115" s="114">
        <f>SUM(G116:G117)</f>
        <v>0.1350162</v>
      </c>
    </row>
    <row r="116" spans="3:7" ht="15">
      <c r="C116" s="25" t="s">
        <v>388</v>
      </c>
      <c r="D116" s="27">
        <v>45.46</v>
      </c>
      <c r="E116" s="27" t="s">
        <v>284</v>
      </c>
      <c r="F116" s="115">
        <f>'LISTA DE PRODUCTOS'!G88</f>
        <v>0.0022</v>
      </c>
      <c r="G116" s="115">
        <f aca="true" t="shared" si="9" ref="G116:G117">D116*F116</f>
        <v>0.100012</v>
      </c>
    </row>
    <row r="117" spans="3:7" ht="15">
      <c r="C117" s="27" t="s">
        <v>386</v>
      </c>
      <c r="D117" s="27">
        <v>45.46</v>
      </c>
      <c r="E117" s="27" t="s">
        <v>284</v>
      </c>
      <c r="F117" s="115">
        <f>'LISTA DE PRODUCTOS'!$G$72</f>
        <v>0.0007700000000000001</v>
      </c>
      <c r="G117" s="115">
        <f t="shared" si="9"/>
        <v>0.035004200000000006</v>
      </c>
    </row>
    <row r="118" spans="3:7" ht="15.75" thickBot="1">
      <c r="C118" s="2"/>
      <c r="D118" s="2"/>
      <c r="E118" s="2"/>
      <c r="F118" s="136"/>
      <c r="G118" s="136"/>
    </row>
    <row r="119" spans="3:7" ht="15.75" thickBot="1">
      <c r="C119" s="135" t="s">
        <v>92</v>
      </c>
      <c r="D119" s="38" t="s">
        <v>185</v>
      </c>
      <c r="E119" s="39"/>
      <c r="F119" s="122" t="s">
        <v>184</v>
      </c>
      <c r="G119" s="116">
        <f>SUM(G120:G125)</f>
        <v>0.08666666666666667</v>
      </c>
    </row>
    <row r="120" spans="3:7" ht="15">
      <c r="C120" s="41" t="s">
        <v>186</v>
      </c>
      <c r="D120" s="40"/>
      <c r="E120" s="40"/>
      <c r="F120" s="120"/>
      <c r="G120" s="115"/>
    </row>
    <row r="121" spans="3:7" ht="15">
      <c r="C121" s="25" t="s">
        <v>140</v>
      </c>
      <c r="D121" s="67">
        <f>'TIEMPO P.P.'!$F$8/'TIEMPO P.P.'!$H$3</f>
        <v>0.016</v>
      </c>
      <c r="E121" s="67"/>
      <c r="F121" s="120">
        <f>IF(DATOS!$I$9&gt;0,(DATOS!$C$4*'TIEMPO P.P.'!$I$3)/240,0)</f>
        <v>0</v>
      </c>
      <c r="G121" s="115">
        <f>D121*F121</f>
        <v>0</v>
      </c>
    </row>
    <row r="122" spans="3:7" ht="15">
      <c r="C122" s="25" t="s">
        <v>78</v>
      </c>
      <c r="D122" s="67">
        <f>'TIEMPO P.P.'!$F$19/'TIEMPO P.P.'!$H$3</f>
        <v>0.03022222222222222</v>
      </c>
      <c r="E122" s="67"/>
      <c r="F122" s="120">
        <f>IF(DATOS!$J$9&gt;0,DATOS!$C$5*'TIEMPO P.P.'!$I$14/240,0)</f>
        <v>0</v>
      </c>
      <c r="G122" s="115">
        <f>F122*D122</f>
        <v>0</v>
      </c>
    </row>
    <row r="123" spans="3:7" ht="15">
      <c r="C123" s="41" t="s">
        <v>187</v>
      </c>
      <c r="D123" s="42"/>
      <c r="E123" s="42"/>
      <c r="F123" s="120"/>
      <c r="G123" s="115"/>
    </row>
    <row r="124" spans="3:7" ht="15">
      <c r="C124" s="27" t="s">
        <v>140</v>
      </c>
      <c r="D124" s="68">
        <f>D121</f>
        <v>0.016</v>
      </c>
      <c r="E124" s="68"/>
      <c r="F124" s="115">
        <f>IF(DATOS!$I$14&gt;0,DATOS!$C$7*'TIEMPO P.P.'!$I$3/8,0)</f>
        <v>1.875</v>
      </c>
      <c r="G124" s="115">
        <f>D124*F124</f>
        <v>0.03</v>
      </c>
    </row>
    <row r="125" spans="3:7" ht="15.75" thickBot="1">
      <c r="C125" s="22" t="s">
        <v>78</v>
      </c>
      <c r="D125" s="71">
        <f>D122</f>
        <v>0.03022222222222222</v>
      </c>
      <c r="E125" s="71"/>
      <c r="F125" s="115">
        <f>IF(DATOS!$J$14&gt;0,DATOS!$C$8*'TIEMPO P.P.'!$I$14/8,0)</f>
        <v>1.875</v>
      </c>
      <c r="G125" s="115">
        <f>D125*F125</f>
        <v>0.056666666666666664</v>
      </c>
    </row>
    <row r="126" spans="3:7" ht="15.75" thickBot="1">
      <c r="C126" s="135" t="s">
        <v>93</v>
      </c>
      <c r="D126" s="38" t="s">
        <v>193</v>
      </c>
      <c r="E126" s="39"/>
      <c r="F126" s="122" t="s">
        <v>198</v>
      </c>
      <c r="G126" s="116">
        <f>SUM(G127:G129)</f>
        <v>0.10208245701058201</v>
      </c>
    </row>
    <row r="127" spans="3:7" ht="15">
      <c r="C127" s="25" t="s">
        <v>191</v>
      </c>
      <c r="D127" s="70">
        <f>('TIEMPO P.P.'!$E$8+'TIEMPO P.P.'!$E$19)/2</f>
        <v>0.08666666666666667</v>
      </c>
      <c r="E127" s="70"/>
      <c r="F127" s="120">
        <f>IF(DATOS!$F$51=0,DATOS!$F$20,DATOS!$F$51)</f>
        <v>1.1778745039682539</v>
      </c>
      <c r="G127" s="115">
        <f>D127*$F$26</f>
        <v>0.10208245701058201</v>
      </c>
    </row>
    <row r="128" spans="3:7" ht="15">
      <c r="C128" s="27" t="s">
        <v>192</v>
      </c>
      <c r="D128" s="69">
        <f>D127</f>
        <v>0.08666666666666667</v>
      </c>
      <c r="E128" s="69"/>
      <c r="F128" s="115">
        <f>DATOS!$F$65/ORDEN!$D$34</f>
        <v>0</v>
      </c>
      <c r="G128" s="115">
        <f>D128*$F$27</f>
        <v>0</v>
      </c>
    </row>
    <row r="129" spans="3:7" ht="15.75" thickBot="1">
      <c r="C129" s="27"/>
      <c r="D129" s="27"/>
      <c r="E129" s="27"/>
      <c r="F129" s="115"/>
      <c r="G129" s="115">
        <f aca="true" t="shared" si="10" ref="G129">D129*F129</f>
        <v>0</v>
      </c>
    </row>
    <row r="130" spans="3:7" ht="17.25" thickBot="1" thickTop="1">
      <c r="C130" s="28"/>
      <c r="D130" s="543" t="s">
        <v>94</v>
      </c>
      <c r="E130" s="544"/>
      <c r="F130" s="545"/>
      <c r="G130" s="117">
        <f>G115+G119+G126</f>
        <v>0.3237653236772487</v>
      </c>
    </row>
    <row r="131" ht="15.75" thickTop="1"/>
    <row r="134" spans="3:7" ht="19.5" thickBot="1">
      <c r="C134" s="546" t="str">
        <f>PLATOS!E14</f>
        <v>Jugo de piña</v>
      </c>
      <c r="D134" s="546"/>
      <c r="E134" s="546"/>
      <c r="F134" s="546"/>
      <c r="G134" s="546"/>
    </row>
    <row r="135" spans="4:7" ht="15.75" thickBot="1">
      <c r="D135" s="31" t="s">
        <v>96</v>
      </c>
      <c r="E135" s="31"/>
      <c r="F135" s="119" t="s">
        <v>95</v>
      </c>
      <c r="G135" s="113" t="s">
        <v>97</v>
      </c>
    </row>
    <row r="136" spans="3:7" ht="15.75" thickBot="1">
      <c r="C136" s="547" t="s">
        <v>91</v>
      </c>
      <c r="D136" s="548"/>
      <c r="E136" s="548"/>
      <c r="F136" s="549"/>
      <c r="G136" s="114">
        <f>SUM(G137:G138)</f>
        <v>0.1350162</v>
      </c>
    </row>
    <row r="137" spans="3:7" ht="15">
      <c r="C137" s="25" t="s">
        <v>393</v>
      </c>
      <c r="D137" s="27">
        <v>45.46</v>
      </c>
      <c r="E137" s="27" t="s">
        <v>284</v>
      </c>
      <c r="F137" s="120">
        <f>'LISTA DE PRODUCTOS'!$G$89</f>
        <v>0.0022</v>
      </c>
      <c r="G137" s="115">
        <f aca="true" t="shared" si="11" ref="G137:G138">D137*F137</f>
        <v>0.100012</v>
      </c>
    </row>
    <row r="138" spans="3:7" ht="15">
      <c r="C138" s="27" t="s">
        <v>386</v>
      </c>
      <c r="D138" s="27">
        <v>45.46</v>
      </c>
      <c r="E138" s="27" t="s">
        <v>284</v>
      </c>
      <c r="F138" s="115">
        <f>'LISTA DE PRODUCTOS'!$G$72</f>
        <v>0.0007700000000000001</v>
      </c>
      <c r="G138" s="115">
        <f t="shared" si="11"/>
        <v>0.035004200000000006</v>
      </c>
    </row>
    <row r="139" spans="3:7" ht="15.75" thickBot="1">
      <c r="C139" s="2"/>
      <c r="D139" s="2"/>
      <c r="E139" s="2"/>
      <c r="F139" s="136"/>
      <c r="G139" s="136"/>
    </row>
    <row r="140" spans="3:7" ht="15.75" thickBot="1">
      <c r="C140" s="135" t="s">
        <v>92</v>
      </c>
      <c r="D140" s="38" t="s">
        <v>185</v>
      </c>
      <c r="E140" s="39"/>
      <c r="F140" s="122" t="s">
        <v>184</v>
      </c>
      <c r="G140" s="116">
        <f>SUM(G141:G146)</f>
        <v>0.08666666666666667</v>
      </c>
    </row>
    <row r="141" spans="3:7" ht="15">
      <c r="C141" s="41" t="s">
        <v>186</v>
      </c>
      <c r="D141" s="40"/>
      <c r="E141" s="40"/>
      <c r="F141" s="120"/>
      <c r="G141" s="115"/>
    </row>
    <row r="142" spans="3:7" ht="15">
      <c r="C142" s="25" t="s">
        <v>140</v>
      </c>
      <c r="D142" s="67">
        <f>'TIEMPO P.P.'!$F$8/'TIEMPO P.P.'!$H$3</f>
        <v>0.016</v>
      </c>
      <c r="E142" s="67"/>
      <c r="F142" s="120">
        <f>IF(DATOS!$I$9&gt;0,(DATOS!$C$4*'TIEMPO P.P.'!$I$3)/240,0)</f>
        <v>0</v>
      </c>
      <c r="G142" s="115">
        <f>D142*F142</f>
        <v>0</v>
      </c>
    </row>
    <row r="143" spans="3:7" ht="15">
      <c r="C143" s="25" t="s">
        <v>78</v>
      </c>
      <c r="D143" s="67">
        <f>'TIEMPO P.P.'!$F$19/'TIEMPO P.P.'!$H$3</f>
        <v>0.03022222222222222</v>
      </c>
      <c r="E143" s="67"/>
      <c r="F143" s="120">
        <f>IF(DATOS!$J$9&gt;0,DATOS!$C$5*'TIEMPO P.P.'!$I$14/240,0)</f>
        <v>0</v>
      </c>
      <c r="G143" s="115">
        <f>F143*D143</f>
        <v>0</v>
      </c>
    </row>
    <row r="144" spans="3:7" ht="15">
      <c r="C144" s="41" t="s">
        <v>187</v>
      </c>
      <c r="D144" s="42"/>
      <c r="E144" s="42"/>
      <c r="F144" s="120"/>
      <c r="G144" s="115"/>
    </row>
    <row r="145" spans="3:7" ht="15">
      <c r="C145" s="27" t="s">
        <v>140</v>
      </c>
      <c r="D145" s="68">
        <f>D142</f>
        <v>0.016</v>
      </c>
      <c r="E145" s="68"/>
      <c r="F145" s="115">
        <f>IF(DATOS!$I$14&gt;0,DATOS!$C$7*'TIEMPO P.P.'!$I$3/8,0)</f>
        <v>1.875</v>
      </c>
      <c r="G145" s="115">
        <f>D145*F145</f>
        <v>0.03</v>
      </c>
    </row>
    <row r="146" spans="3:7" ht="15.75" thickBot="1">
      <c r="C146" s="22" t="s">
        <v>78</v>
      </c>
      <c r="D146" s="71">
        <f>D143</f>
        <v>0.03022222222222222</v>
      </c>
      <c r="E146" s="71"/>
      <c r="F146" s="115">
        <f>IF(DATOS!$J$14&gt;0,DATOS!$C$8*'TIEMPO P.P.'!$I$14/8,0)</f>
        <v>1.875</v>
      </c>
      <c r="G146" s="115">
        <f>D146*F146</f>
        <v>0.056666666666666664</v>
      </c>
    </row>
    <row r="147" spans="3:7" ht="15.75" thickBot="1">
      <c r="C147" s="135" t="s">
        <v>93</v>
      </c>
      <c r="D147" s="38" t="s">
        <v>193</v>
      </c>
      <c r="E147" s="39"/>
      <c r="F147" s="122" t="s">
        <v>198</v>
      </c>
      <c r="G147" s="116">
        <f>SUM(G148:G150)</f>
        <v>0.10208245701058201</v>
      </c>
    </row>
    <row r="148" spans="3:7" ht="15">
      <c r="C148" s="25" t="s">
        <v>191</v>
      </c>
      <c r="D148" s="70">
        <f>('TIEMPO P.P.'!$E$8+'TIEMPO P.P.'!$E$19)/2</f>
        <v>0.08666666666666667</v>
      </c>
      <c r="E148" s="70"/>
      <c r="F148" s="120">
        <f>IF(DATOS!$F$51=0,DATOS!$F$20,DATOS!$F$51)</f>
        <v>1.1778745039682539</v>
      </c>
      <c r="G148" s="115">
        <f>D148*$F$26</f>
        <v>0.10208245701058201</v>
      </c>
    </row>
    <row r="149" spans="3:7" ht="15">
      <c r="C149" s="27" t="s">
        <v>192</v>
      </c>
      <c r="D149" s="69">
        <f>D148</f>
        <v>0.08666666666666667</v>
      </c>
      <c r="E149" s="69"/>
      <c r="F149" s="115">
        <f>DATOS!$F$65/ORDEN!$D$34</f>
        <v>0</v>
      </c>
      <c r="G149" s="115">
        <f>D149*$F$27</f>
        <v>0</v>
      </c>
    </row>
    <row r="150" spans="3:7" ht="15.75" thickBot="1">
      <c r="C150" s="27"/>
      <c r="D150" s="27"/>
      <c r="E150" s="27"/>
      <c r="F150" s="115"/>
      <c r="G150" s="115">
        <f aca="true" t="shared" si="12" ref="G150">D150*F150</f>
        <v>0</v>
      </c>
    </row>
    <row r="151" spans="3:7" ht="17.25" thickBot="1" thickTop="1">
      <c r="C151" s="28"/>
      <c r="D151" s="543" t="s">
        <v>94</v>
      </c>
      <c r="E151" s="544"/>
      <c r="F151" s="545"/>
      <c r="G151" s="117">
        <f>G136+G140+G147</f>
        <v>0.3237653236772487</v>
      </c>
    </row>
    <row r="152" ht="15.75" thickTop="1"/>
    <row r="154" spans="3:7" ht="19.5" thickBot="1">
      <c r="C154" s="546" t="str">
        <f>PLATOS!E15</f>
        <v>Jugo de Tomate</v>
      </c>
      <c r="D154" s="546"/>
      <c r="E154" s="546"/>
      <c r="F154" s="546"/>
      <c r="G154" s="546"/>
    </row>
    <row r="155" spans="4:7" ht="15.75" thickBot="1">
      <c r="D155" s="31" t="s">
        <v>96</v>
      </c>
      <c r="E155" s="31"/>
      <c r="F155" s="119" t="s">
        <v>95</v>
      </c>
      <c r="G155" s="113" t="s">
        <v>97</v>
      </c>
    </row>
    <row r="156" spans="3:7" ht="15.75" thickBot="1">
      <c r="C156" s="547" t="s">
        <v>91</v>
      </c>
      <c r="D156" s="548"/>
      <c r="E156" s="548"/>
      <c r="F156" s="549"/>
      <c r="G156" s="114">
        <f>SUM(G157:G158)</f>
        <v>0.2850122</v>
      </c>
    </row>
    <row r="157" spans="3:7" ht="15">
      <c r="C157" s="27" t="s">
        <v>389</v>
      </c>
      <c r="D157" s="27">
        <v>113.64</v>
      </c>
      <c r="E157" s="27" t="s">
        <v>284</v>
      </c>
      <c r="F157" s="115">
        <f>'LISTA DE PRODUCTOS'!$G$92</f>
        <v>0.0022</v>
      </c>
      <c r="G157" s="115">
        <f aca="true" t="shared" si="13" ref="G157:G158">D157*F157</f>
        <v>0.250008</v>
      </c>
    </row>
    <row r="158" spans="3:7" ht="15">
      <c r="C158" s="27" t="s">
        <v>386</v>
      </c>
      <c r="D158" s="27">
        <v>45.46</v>
      </c>
      <c r="E158" s="27" t="s">
        <v>284</v>
      </c>
      <c r="F158" s="115">
        <f>'LISTA DE PRODUCTOS'!$G$72</f>
        <v>0.0007700000000000001</v>
      </c>
      <c r="G158" s="115">
        <f t="shared" si="13"/>
        <v>0.035004200000000006</v>
      </c>
    </row>
    <row r="159" spans="3:7" ht="15.75" thickBot="1">
      <c r="C159" s="2"/>
      <c r="D159" s="2"/>
      <c r="E159" s="2"/>
      <c r="F159" s="136"/>
      <c r="G159" s="136"/>
    </row>
    <row r="160" spans="3:7" ht="15.75" thickBot="1">
      <c r="C160" s="135" t="s">
        <v>92</v>
      </c>
      <c r="D160" s="38" t="s">
        <v>185</v>
      </c>
      <c r="E160" s="39"/>
      <c r="F160" s="122" t="s">
        <v>184</v>
      </c>
      <c r="G160" s="116">
        <f>SUM(G161:G166)</f>
        <v>0.08666666666666667</v>
      </c>
    </row>
    <row r="161" spans="3:7" ht="15">
      <c r="C161" s="41" t="s">
        <v>186</v>
      </c>
      <c r="D161" s="40"/>
      <c r="E161" s="40"/>
      <c r="F161" s="120"/>
      <c r="G161" s="115"/>
    </row>
    <row r="162" spans="3:7" ht="15">
      <c r="C162" s="25" t="s">
        <v>140</v>
      </c>
      <c r="D162" s="67">
        <f>'TIEMPO P.P.'!$F$8/'TIEMPO P.P.'!$H$3</f>
        <v>0.016</v>
      </c>
      <c r="E162" s="67"/>
      <c r="F162" s="120">
        <f>IF(DATOS!$I$9&gt;0,(DATOS!$C$4*'TIEMPO P.P.'!$I$3)/240,0)</f>
        <v>0</v>
      </c>
      <c r="G162" s="115">
        <f>D162*F162</f>
        <v>0</v>
      </c>
    </row>
    <row r="163" spans="3:7" ht="15">
      <c r="C163" s="25" t="s">
        <v>78</v>
      </c>
      <c r="D163" s="67">
        <f>'TIEMPO P.P.'!$F$19/'TIEMPO P.P.'!$H$3</f>
        <v>0.03022222222222222</v>
      </c>
      <c r="E163" s="67"/>
      <c r="F163" s="120">
        <f>IF(DATOS!$J$9&gt;0,DATOS!$C$5*'TIEMPO P.P.'!$I$14/240,0)</f>
        <v>0</v>
      </c>
      <c r="G163" s="115">
        <f>F163*D163</f>
        <v>0</v>
      </c>
    </row>
    <row r="164" spans="3:7" ht="15">
      <c r="C164" s="41" t="s">
        <v>187</v>
      </c>
      <c r="D164" s="42"/>
      <c r="E164" s="42"/>
      <c r="F164" s="120"/>
      <c r="G164" s="115"/>
    </row>
    <row r="165" spans="3:7" ht="15">
      <c r="C165" s="27" t="s">
        <v>140</v>
      </c>
      <c r="D165" s="68">
        <f>D162</f>
        <v>0.016</v>
      </c>
      <c r="E165" s="68"/>
      <c r="F165" s="115">
        <f>IF(DATOS!$I$14&gt;0,DATOS!$C$7*'TIEMPO P.P.'!$I$3/8,0)</f>
        <v>1.875</v>
      </c>
      <c r="G165" s="115">
        <f>D165*F165</f>
        <v>0.03</v>
      </c>
    </row>
    <row r="166" spans="3:7" ht="15.75" thickBot="1">
      <c r="C166" s="22" t="s">
        <v>78</v>
      </c>
      <c r="D166" s="71">
        <f>D163</f>
        <v>0.03022222222222222</v>
      </c>
      <c r="E166" s="71"/>
      <c r="F166" s="115">
        <f>IF(DATOS!$J$14&gt;0,DATOS!$C$8*'TIEMPO P.P.'!$I$14/8,0)</f>
        <v>1.875</v>
      </c>
      <c r="G166" s="115">
        <f>D166*F166</f>
        <v>0.056666666666666664</v>
      </c>
    </row>
    <row r="167" spans="3:7" ht="15.75" thickBot="1">
      <c r="C167" s="135" t="s">
        <v>93</v>
      </c>
      <c r="D167" s="38" t="s">
        <v>193</v>
      </c>
      <c r="E167" s="39"/>
      <c r="F167" s="122" t="s">
        <v>198</v>
      </c>
      <c r="G167" s="116">
        <f>SUM(G168:G170)</f>
        <v>0.10208245701058201</v>
      </c>
    </row>
    <row r="168" spans="3:7" ht="15">
      <c r="C168" s="25" t="s">
        <v>191</v>
      </c>
      <c r="D168" s="70">
        <f>('TIEMPO P.P.'!$E$8+'TIEMPO P.P.'!$E$19)/2</f>
        <v>0.08666666666666667</v>
      </c>
      <c r="E168" s="70"/>
      <c r="F168" s="120">
        <f>IF(DATOS!$F$51=0,DATOS!$F$20,DATOS!$F$51)</f>
        <v>1.1778745039682539</v>
      </c>
      <c r="G168" s="115">
        <f>D168*$F$26</f>
        <v>0.10208245701058201</v>
      </c>
    </row>
    <row r="169" spans="3:7" ht="15">
      <c r="C169" s="27" t="s">
        <v>192</v>
      </c>
      <c r="D169" s="69">
        <f>D168</f>
        <v>0.08666666666666667</v>
      </c>
      <c r="E169" s="69"/>
      <c r="F169" s="115">
        <f>DATOS!$F$65/ORDEN!$D$34</f>
        <v>0</v>
      </c>
      <c r="G169" s="115">
        <f>D169*$F$27</f>
        <v>0</v>
      </c>
    </row>
    <row r="170" spans="3:7" ht="15.75" thickBot="1">
      <c r="C170" s="27"/>
      <c r="D170" s="27"/>
      <c r="E170" s="27"/>
      <c r="F170" s="115"/>
      <c r="G170" s="115">
        <f aca="true" t="shared" si="14" ref="G170">D170*F170</f>
        <v>0</v>
      </c>
    </row>
    <row r="171" spans="3:7" ht="17.25" thickBot="1" thickTop="1">
      <c r="C171" s="28"/>
      <c r="D171" s="543" t="s">
        <v>94</v>
      </c>
      <c r="E171" s="544"/>
      <c r="F171" s="545"/>
      <c r="G171" s="117">
        <f>G156+G160+G167</f>
        <v>0.47376132367724866</v>
      </c>
    </row>
    <row r="172" ht="15.75" thickTop="1"/>
    <row r="175" spans="3:7" ht="19.5" thickBot="1">
      <c r="C175" s="546" t="str">
        <f>PLATOS!E16</f>
        <v>Minerales</v>
      </c>
      <c r="D175" s="546"/>
      <c r="E175" s="546"/>
      <c r="F175" s="546"/>
      <c r="G175" s="546"/>
    </row>
    <row r="176" spans="4:7" ht="15.75" thickBot="1">
      <c r="D176" s="31" t="s">
        <v>96</v>
      </c>
      <c r="E176" s="31"/>
      <c r="F176" s="119" t="s">
        <v>95</v>
      </c>
      <c r="G176" s="113" t="s">
        <v>97</v>
      </c>
    </row>
    <row r="177" spans="3:7" ht="15.75" thickBot="1">
      <c r="C177" s="547" t="s">
        <v>91</v>
      </c>
      <c r="D177" s="548"/>
      <c r="E177" s="548"/>
      <c r="F177" s="549"/>
      <c r="G177" s="114">
        <f>SUM(G178:G178)</f>
        <v>0.0750035</v>
      </c>
    </row>
    <row r="178" spans="3:7" ht="15">
      <c r="C178" s="27" t="s">
        <v>59</v>
      </c>
      <c r="D178" s="25">
        <v>136.37</v>
      </c>
      <c r="E178" s="27" t="s">
        <v>439</v>
      </c>
      <c r="F178" s="115">
        <f>'LISTA DE PRODUCTOS'!$G$70</f>
        <v>0.00055</v>
      </c>
      <c r="G178" s="115">
        <f aca="true" t="shared" si="15" ref="G178">D178*F178</f>
        <v>0.0750035</v>
      </c>
    </row>
    <row r="179" spans="3:7" ht="15.75" thickBot="1">
      <c r="C179" s="2"/>
      <c r="D179" s="2"/>
      <c r="E179" s="2"/>
      <c r="F179" s="136"/>
      <c r="G179" s="136"/>
    </row>
    <row r="180" spans="3:7" ht="15.75" thickBot="1">
      <c r="C180" s="135" t="s">
        <v>92</v>
      </c>
      <c r="D180" s="38" t="s">
        <v>185</v>
      </c>
      <c r="E180" s="39"/>
      <c r="F180" s="122" t="s">
        <v>184</v>
      </c>
      <c r="G180" s="116">
        <f>SUM(G181:G186)</f>
        <v>0.08666666666666667</v>
      </c>
    </row>
    <row r="181" spans="3:7" ht="15">
      <c r="C181" s="41" t="s">
        <v>186</v>
      </c>
      <c r="D181" s="40"/>
      <c r="E181" s="40"/>
      <c r="F181" s="120"/>
      <c r="G181" s="115"/>
    </row>
    <row r="182" spans="3:7" ht="15">
      <c r="C182" s="25" t="s">
        <v>140</v>
      </c>
      <c r="D182" s="67">
        <f>'TIEMPO P.P.'!$F$8/'TIEMPO P.P.'!$H$3</f>
        <v>0.016</v>
      </c>
      <c r="E182" s="67"/>
      <c r="F182" s="120">
        <f>IF(DATOS!$I$9&gt;0,(DATOS!$C$4*'TIEMPO P.P.'!$I$3)/240,0)</f>
        <v>0</v>
      </c>
      <c r="G182" s="115">
        <f>D182*F182</f>
        <v>0</v>
      </c>
    </row>
    <row r="183" spans="3:7" ht="15">
      <c r="C183" s="25" t="s">
        <v>78</v>
      </c>
      <c r="D183" s="67">
        <f>'TIEMPO P.P.'!$F$19/'TIEMPO P.P.'!$H$3</f>
        <v>0.03022222222222222</v>
      </c>
      <c r="E183" s="67"/>
      <c r="F183" s="120">
        <f>IF(DATOS!$J$9&gt;0,DATOS!$C$5*'TIEMPO P.P.'!$I$14/240,0)</f>
        <v>0</v>
      </c>
      <c r="G183" s="115">
        <f>F183*D183</f>
        <v>0</v>
      </c>
    </row>
    <row r="184" spans="3:7" ht="15">
      <c r="C184" s="41" t="s">
        <v>187</v>
      </c>
      <c r="D184" s="42"/>
      <c r="E184" s="42"/>
      <c r="F184" s="120"/>
      <c r="G184" s="115"/>
    </row>
    <row r="185" spans="3:7" ht="15">
      <c r="C185" s="27" t="s">
        <v>140</v>
      </c>
      <c r="D185" s="68">
        <f>D182</f>
        <v>0.016</v>
      </c>
      <c r="E185" s="68"/>
      <c r="F185" s="115">
        <f>IF(DATOS!$I$14&gt;0,DATOS!$C$7*'TIEMPO P.P.'!$I$3/8,0)</f>
        <v>1.875</v>
      </c>
      <c r="G185" s="115">
        <f>D185*F185</f>
        <v>0.03</v>
      </c>
    </row>
    <row r="186" spans="3:7" ht="15.75" thickBot="1">
      <c r="C186" s="22" t="s">
        <v>78</v>
      </c>
      <c r="D186" s="71">
        <f>D183</f>
        <v>0.03022222222222222</v>
      </c>
      <c r="E186" s="71"/>
      <c r="F186" s="115">
        <f>IF(DATOS!$J$14&gt;0,DATOS!$C$8*'TIEMPO P.P.'!$I$14/8,0)</f>
        <v>1.875</v>
      </c>
      <c r="G186" s="115">
        <f>D186*F186</f>
        <v>0.056666666666666664</v>
      </c>
    </row>
    <row r="187" spans="3:7" ht="15.75" thickBot="1">
      <c r="C187" s="135" t="s">
        <v>93</v>
      </c>
      <c r="D187" s="38" t="s">
        <v>193</v>
      </c>
      <c r="E187" s="39"/>
      <c r="F187" s="122" t="s">
        <v>198</v>
      </c>
      <c r="G187" s="116">
        <f>SUM(G188:G190)</f>
        <v>0.10208245701058201</v>
      </c>
    </row>
    <row r="188" spans="3:7" ht="15">
      <c r="C188" s="25" t="s">
        <v>191</v>
      </c>
      <c r="D188" s="70">
        <f>('TIEMPO P.P.'!$E$8+'TIEMPO P.P.'!$E$19)/2</f>
        <v>0.08666666666666667</v>
      </c>
      <c r="E188" s="70"/>
      <c r="F188" s="120">
        <f>IF(DATOS!$F$51=0,DATOS!$F$20,DATOS!$F$51)</f>
        <v>1.1778745039682539</v>
      </c>
      <c r="G188" s="115">
        <f>D188*$F$26</f>
        <v>0.10208245701058201</v>
      </c>
    </row>
    <row r="189" spans="3:7" ht="15">
      <c r="C189" s="27" t="s">
        <v>192</v>
      </c>
      <c r="D189" s="69">
        <f>D188</f>
        <v>0.08666666666666667</v>
      </c>
      <c r="E189" s="69"/>
      <c r="F189" s="115">
        <f>DATOS!$F$65/ORDEN!$D$34</f>
        <v>0</v>
      </c>
      <c r="G189" s="115">
        <f>D189*$F$27</f>
        <v>0</v>
      </c>
    </row>
    <row r="190" spans="3:7" ht="15.75" thickBot="1">
      <c r="C190" s="27"/>
      <c r="D190" s="27"/>
      <c r="E190" s="27"/>
      <c r="F190" s="115"/>
      <c r="G190" s="115">
        <f aca="true" t="shared" si="16" ref="G190">D190*F190</f>
        <v>0</v>
      </c>
    </row>
    <row r="191" spans="3:7" ht="17.25" thickBot="1" thickTop="1">
      <c r="C191" s="28"/>
      <c r="D191" s="543" t="s">
        <v>94</v>
      </c>
      <c r="E191" s="544"/>
      <c r="F191" s="545"/>
      <c r="G191" s="117">
        <f>G177+G180+G187</f>
        <v>0.26375262367724867</v>
      </c>
    </row>
    <row r="192" ht="15.75" thickTop="1"/>
    <row r="194" spans="3:7" ht="19.5" thickBot="1">
      <c r="C194" s="546" t="str">
        <f>PLATOS!E17</f>
        <v>COSTO-BEBIDAS'!C198</v>
      </c>
      <c r="D194" s="546"/>
      <c r="E194" s="546"/>
      <c r="F194" s="546"/>
      <c r="G194" s="546"/>
    </row>
    <row r="195" spans="4:7" ht="15.75" thickBot="1">
      <c r="D195" s="31" t="s">
        <v>96</v>
      </c>
      <c r="E195" s="31"/>
      <c r="F195" s="119" t="s">
        <v>95</v>
      </c>
      <c r="G195" s="113" t="s">
        <v>97</v>
      </c>
    </row>
    <row r="196" spans="3:7" ht="15.75" thickBot="1">
      <c r="C196" s="547" t="s">
        <v>91</v>
      </c>
      <c r="D196" s="548"/>
      <c r="E196" s="548"/>
      <c r="F196" s="549"/>
      <c r="G196" s="114">
        <f>SUM(G197:G203)</f>
        <v>0</v>
      </c>
    </row>
    <row r="197" spans="3:7" ht="15">
      <c r="C197" s="25"/>
      <c r="D197" s="25"/>
      <c r="E197" s="25"/>
      <c r="F197" s="120"/>
      <c r="G197" s="115">
        <f>D197*F197</f>
        <v>0</v>
      </c>
    </row>
    <row r="198" spans="3:7" ht="15">
      <c r="C198" s="27"/>
      <c r="D198" s="27"/>
      <c r="E198" s="27"/>
      <c r="F198" s="115"/>
      <c r="G198" s="115">
        <f aca="true" t="shared" si="17" ref="G198:G203">D198*F198</f>
        <v>0</v>
      </c>
    </row>
    <row r="199" spans="3:7" ht="15">
      <c r="C199" s="27"/>
      <c r="D199" s="27"/>
      <c r="E199" s="27"/>
      <c r="F199" s="115"/>
      <c r="G199" s="115">
        <f t="shared" si="17"/>
        <v>0</v>
      </c>
    </row>
    <row r="200" spans="3:7" ht="15">
      <c r="C200" s="27"/>
      <c r="D200" s="27"/>
      <c r="E200" s="27"/>
      <c r="F200" s="115"/>
      <c r="G200" s="115">
        <f t="shared" si="17"/>
        <v>0</v>
      </c>
    </row>
    <row r="201" spans="3:7" ht="15">
      <c r="C201" s="27"/>
      <c r="D201" s="27"/>
      <c r="E201" s="27"/>
      <c r="F201" s="115"/>
      <c r="G201" s="115">
        <f t="shared" si="17"/>
        <v>0</v>
      </c>
    </row>
    <row r="202" spans="3:7" ht="15">
      <c r="C202" s="27"/>
      <c r="D202" s="27"/>
      <c r="E202" s="27"/>
      <c r="F202" s="115"/>
      <c r="G202" s="115">
        <f t="shared" si="17"/>
        <v>0</v>
      </c>
    </row>
    <row r="203" spans="3:7" ht="15.75" thickBot="1">
      <c r="C203" s="22"/>
      <c r="D203" s="22"/>
      <c r="E203" s="22"/>
      <c r="F203" s="121"/>
      <c r="G203" s="115">
        <f t="shared" si="17"/>
        <v>0</v>
      </c>
    </row>
    <row r="204" spans="3:7" ht="15.75" thickBot="1">
      <c r="C204" s="135" t="s">
        <v>92</v>
      </c>
      <c r="D204" s="38" t="s">
        <v>185</v>
      </c>
      <c r="E204" s="39"/>
      <c r="F204" s="122" t="s">
        <v>184</v>
      </c>
      <c r="G204" s="116">
        <f>SUM(G205:G210)</f>
        <v>0.08666666666666667</v>
      </c>
    </row>
    <row r="205" spans="3:7" ht="15">
      <c r="C205" s="41" t="s">
        <v>186</v>
      </c>
      <c r="D205" s="40"/>
      <c r="E205" s="40"/>
      <c r="F205" s="120"/>
      <c r="G205" s="115"/>
    </row>
    <row r="206" spans="3:7" ht="15">
      <c r="C206" s="25" t="s">
        <v>140</v>
      </c>
      <c r="D206" s="67">
        <f>'TIEMPO P.P.'!$F$8/'TIEMPO P.P.'!$H$3</f>
        <v>0.016</v>
      </c>
      <c r="E206" s="67"/>
      <c r="F206" s="120">
        <f>IF(DATOS!$I$9&gt;0,(DATOS!$C$4*'TIEMPO P.P.'!$I$3)/240,0)</f>
        <v>0</v>
      </c>
      <c r="G206" s="115">
        <f>D206*F206</f>
        <v>0</v>
      </c>
    </row>
    <row r="207" spans="3:7" ht="15">
      <c r="C207" s="25" t="s">
        <v>78</v>
      </c>
      <c r="D207" s="67">
        <f>'TIEMPO P.P.'!$F$19/'TIEMPO P.P.'!$H$3</f>
        <v>0.03022222222222222</v>
      </c>
      <c r="E207" s="67"/>
      <c r="F207" s="120">
        <f>IF(DATOS!$J$9&gt;0,DATOS!$C$5*'TIEMPO P.P.'!$I$14/240,0)</f>
        <v>0</v>
      </c>
      <c r="G207" s="115">
        <f>F207*D207</f>
        <v>0</v>
      </c>
    </row>
    <row r="208" spans="3:7" ht="15">
      <c r="C208" s="41" t="s">
        <v>187</v>
      </c>
      <c r="D208" s="42"/>
      <c r="E208" s="42"/>
      <c r="F208" s="120"/>
      <c r="G208" s="115"/>
    </row>
    <row r="209" spans="3:7" ht="15">
      <c r="C209" s="27" t="s">
        <v>140</v>
      </c>
      <c r="D209" s="68">
        <f>D206</f>
        <v>0.016</v>
      </c>
      <c r="E209" s="68"/>
      <c r="F209" s="115">
        <f>IF(DATOS!$I$14&gt;0,DATOS!$C$7*'TIEMPO P.P.'!$I$3/8,0)</f>
        <v>1.875</v>
      </c>
      <c r="G209" s="115">
        <f>D209*F209</f>
        <v>0.03</v>
      </c>
    </row>
    <row r="210" spans="3:7" ht="15.75" thickBot="1">
      <c r="C210" s="22" t="s">
        <v>78</v>
      </c>
      <c r="D210" s="71">
        <f>D207</f>
        <v>0.03022222222222222</v>
      </c>
      <c r="E210" s="71"/>
      <c r="F210" s="115">
        <f>IF(DATOS!$J$14&gt;0,DATOS!$C$8*'TIEMPO P.P.'!$I$14/8,0)</f>
        <v>1.875</v>
      </c>
      <c r="G210" s="115">
        <f>D210*F210</f>
        <v>0.056666666666666664</v>
      </c>
    </row>
    <row r="211" spans="3:7" ht="15.75" thickBot="1">
      <c r="C211" s="135" t="s">
        <v>93</v>
      </c>
      <c r="D211" s="38" t="s">
        <v>193</v>
      </c>
      <c r="E211" s="39"/>
      <c r="F211" s="122" t="s">
        <v>198</v>
      </c>
      <c r="G211" s="116">
        <f>SUM(G212:G214)</f>
        <v>0.10208245701058201</v>
      </c>
    </row>
    <row r="212" spans="3:7" ht="15">
      <c r="C212" s="25" t="s">
        <v>191</v>
      </c>
      <c r="D212" s="70">
        <f>('TIEMPO P.P.'!$E$8+'TIEMPO P.P.'!$E$19)/2</f>
        <v>0.08666666666666667</v>
      </c>
      <c r="E212" s="70"/>
      <c r="F212" s="120">
        <f>IF(DATOS!$F$51=0,DATOS!$F$20,DATOS!$F$51)</f>
        <v>1.1778745039682539</v>
      </c>
      <c r="G212" s="115">
        <f>D212*$F$26</f>
        <v>0.10208245701058201</v>
      </c>
    </row>
    <row r="213" spans="3:7" ht="15">
      <c r="C213" s="27" t="s">
        <v>192</v>
      </c>
      <c r="D213" s="69">
        <f>D212</f>
        <v>0.08666666666666667</v>
      </c>
      <c r="E213" s="69"/>
      <c r="F213" s="115">
        <f>DATOS!$F$65/ORDEN!$D$34</f>
        <v>0</v>
      </c>
      <c r="G213" s="115">
        <f>D213*$F$27</f>
        <v>0</v>
      </c>
    </row>
    <row r="214" spans="3:7" ht="15.75" thickBot="1">
      <c r="C214" s="27"/>
      <c r="D214" s="27"/>
      <c r="E214" s="27"/>
      <c r="F214" s="115"/>
      <c r="G214" s="115">
        <f aca="true" t="shared" si="18" ref="G214">D214*F214</f>
        <v>0</v>
      </c>
    </row>
    <row r="215" spans="3:7" ht="17.25" thickBot="1" thickTop="1">
      <c r="C215" s="28"/>
      <c r="D215" s="543" t="s">
        <v>94</v>
      </c>
      <c r="E215" s="544"/>
      <c r="F215" s="545"/>
      <c r="G215" s="117">
        <f>G196+G204+G211</f>
        <v>0.18874912367724866</v>
      </c>
    </row>
    <row r="216" ht="15.75" thickTop="1"/>
    <row r="219" spans="3:7" ht="19.5" thickBot="1">
      <c r="C219" s="546" t="str">
        <f>PLATOS!E18</f>
        <v>COSTO-BEBIDAS'!C220</v>
      </c>
      <c r="D219" s="546"/>
      <c r="E219" s="546"/>
      <c r="F219" s="546"/>
      <c r="G219" s="546"/>
    </row>
    <row r="220" spans="4:7" ht="15.75" thickBot="1">
      <c r="D220" s="31" t="s">
        <v>96</v>
      </c>
      <c r="E220" s="31"/>
      <c r="F220" s="119" t="s">
        <v>95</v>
      </c>
      <c r="G220" s="113" t="s">
        <v>97</v>
      </c>
    </row>
    <row r="221" spans="3:7" ht="15.75" thickBot="1">
      <c r="C221" s="547" t="s">
        <v>91</v>
      </c>
      <c r="D221" s="548"/>
      <c r="E221" s="548"/>
      <c r="F221" s="549"/>
      <c r="G221" s="114">
        <f>SUM(G222:G228)</f>
        <v>0</v>
      </c>
    </row>
    <row r="222" spans="3:7" ht="15">
      <c r="C222" s="25"/>
      <c r="D222" s="25"/>
      <c r="E222" s="25"/>
      <c r="F222" s="120"/>
      <c r="G222" s="115">
        <f>D222*F222</f>
        <v>0</v>
      </c>
    </row>
    <row r="223" spans="3:7" ht="15">
      <c r="C223" s="27"/>
      <c r="D223" s="27"/>
      <c r="E223" s="27"/>
      <c r="F223" s="115"/>
      <c r="G223" s="115">
        <f aca="true" t="shared" si="19" ref="G223:G228">D223*F223</f>
        <v>0</v>
      </c>
    </row>
    <row r="224" spans="3:7" ht="15">
      <c r="C224" s="27"/>
      <c r="D224" s="27"/>
      <c r="E224" s="27"/>
      <c r="F224" s="115"/>
      <c r="G224" s="115">
        <f t="shared" si="19"/>
        <v>0</v>
      </c>
    </row>
    <row r="225" spans="3:7" ht="15">
      <c r="C225" s="27"/>
      <c r="D225" s="27"/>
      <c r="E225" s="27"/>
      <c r="F225" s="115"/>
      <c r="G225" s="115">
        <f t="shared" si="19"/>
        <v>0</v>
      </c>
    </row>
    <row r="226" spans="3:7" ht="15">
      <c r="C226" s="27"/>
      <c r="D226" s="27"/>
      <c r="E226" s="27"/>
      <c r="F226" s="115"/>
      <c r="G226" s="115">
        <f t="shared" si="19"/>
        <v>0</v>
      </c>
    </row>
    <row r="227" spans="3:7" ht="15">
      <c r="C227" s="27"/>
      <c r="D227" s="27"/>
      <c r="E227" s="27"/>
      <c r="F227" s="115"/>
      <c r="G227" s="115">
        <f t="shared" si="19"/>
        <v>0</v>
      </c>
    </row>
    <row r="228" spans="3:7" ht="15.75" thickBot="1">
      <c r="C228" s="22"/>
      <c r="D228" s="22"/>
      <c r="E228" s="22"/>
      <c r="F228" s="121"/>
      <c r="G228" s="115">
        <f t="shared" si="19"/>
        <v>0</v>
      </c>
    </row>
    <row r="229" spans="3:7" ht="15.75" thickBot="1">
      <c r="C229" s="135" t="s">
        <v>92</v>
      </c>
      <c r="D229" s="38" t="s">
        <v>185</v>
      </c>
      <c r="E229" s="39"/>
      <c r="F229" s="122" t="s">
        <v>184</v>
      </c>
      <c r="G229" s="116">
        <f>SUM(G230:G235)</f>
        <v>0.08666666666666667</v>
      </c>
    </row>
    <row r="230" spans="3:7" ht="15">
      <c r="C230" s="41" t="s">
        <v>186</v>
      </c>
      <c r="D230" s="40"/>
      <c r="E230" s="40"/>
      <c r="F230" s="120"/>
      <c r="G230" s="115"/>
    </row>
    <row r="231" spans="3:7" ht="15">
      <c r="C231" s="25" t="s">
        <v>140</v>
      </c>
      <c r="D231" s="67">
        <f>'TIEMPO P.P.'!$F$8/'TIEMPO P.P.'!$H$3</f>
        <v>0.016</v>
      </c>
      <c r="E231" s="67"/>
      <c r="F231" s="120">
        <f>IF(DATOS!$I$9&gt;0,(DATOS!$C$4*'TIEMPO P.P.'!$I$3)/240,0)</f>
        <v>0</v>
      </c>
      <c r="G231" s="115">
        <f>D231*F231</f>
        <v>0</v>
      </c>
    </row>
    <row r="232" spans="3:7" ht="15">
      <c r="C232" s="25" t="s">
        <v>78</v>
      </c>
      <c r="D232" s="67">
        <f>'TIEMPO P.P.'!$F$19/'TIEMPO P.P.'!$H$3</f>
        <v>0.03022222222222222</v>
      </c>
      <c r="E232" s="67"/>
      <c r="F232" s="120">
        <f>IF(DATOS!$J$9&gt;0,DATOS!$C$5*'TIEMPO P.P.'!$I$14/240,0)</f>
        <v>0</v>
      </c>
      <c r="G232" s="115">
        <f>F232*D232</f>
        <v>0</v>
      </c>
    </row>
    <row r="233" spans="3:7" ht="15">
      <c r="C233" s="41" t="s">
        <v>187</v>
      </c>
      <c r="D233" s="42"/>
      <c r="E233" s="42"/>
      <c r="F233" s="120"/>
      <c r="G233" s="115"/>
    </row>
    <row r="234" spans="3:7" ht="15">
      <c r="C234" s="27" t="s">
        <v>140</v>
      </c>
      <c r="D234" s="68">
        <f>D231</f>
        <v>0.016</v>
      </c>
      <c r="E234" s="68"/>
      <c r="F234" s="115">
        <f>IF(DATOS!$I$14&gt;0,DATOS!$C$7*'TIEMPO P.P.'!$I$3/8,0)</f>
        <v>1.875</v>
      </c>
      <c r="G234" s="115">
        <f>D234*F234</f>
        <v>0.03</v>
      </c>
    </row>
    <row r="235" spans="3:7" ht="15.75" thickBot="1">
      <c r="C235" s="22" t="s">
        <v>78</v>
      </c>
      <c r="D235" s="71">
        <f>D232</f>
        <v>0.03022222222222222</v>
      </c>
      <c r="E235" s="71"/>
      <c r="F235" s="115">
        <f>IF(DATOS!$J$14&gt;0,DATOS!$C$8*'TIEMPO P.P.'!$I$14/8,0)</f>
        <v>1.875</v>
      </c>
      <c r="G235" s="115">
        <f>D235*F235</f>
        <v>0.056666666666666664</v>
      </c>
    </row>
    <row r="236" spans="3:7" ht="15.75" thickBot="1">
      <c r="C236" s="135" t="s">
        <v>93</v>
      </c>
      <c r="D236" s="38" t="s">
        <v>193</v>
      </c>
      <c r="E236" s="39"/>
      <c r="F236" s="122" t="s">
        <v>198</v>
      </c>
      <c r="G236" s="116">
        <f>SUM(G237:G239)</f>
        <v>0.10208245701058201</v>
      </c>
    </row>
    <row r="237" spans="3:7" ht="15">
      <c r="C237" s="25" t="s">
        <v>191</v>
      </c>
      <c r="D237" s="70">
        <f>('TIEMPO P.P.'!$E$8+'TIEMPO P.P.'!$E$19)/2</f>
        <v>0.08666666666666667</v>
      </c>
      <c r="E237" s="70"/>
      <c r="F237" s="120">
        <f>IF(DATOS!$F$51=0,DATOS!$F$20,DATOS!$F$51)</f>
        <v>1.1778745039682539</v>
      </c>
      <c r="G237" s="115">
        <f>D237*$F$26</f>
        <v>0.10208245701058201</v>
      </c>
    </row>
    <row r="238" spans="3:7" ht="15">
      <c r="C238" s="27" t="s">
        <v>192</v>
      </c>
      <c r="D238" s="69">
        <f>D237</f>
        <v>0.08666666666666667</v>
      </c>
      <c r="E238" s="69"/>
      <c r="F238" s="115">
        <f>DATOS!$F$65/ORDEN!$D$34</f>
        <v>0</v>
      </c>
      <c r="G238" s="115">
        <f>D238*$F$27</f>
        <v>0</v>
      </c>
    </row>
    <row r="239" spans="3:7" ht="15.75" thickBot="1">
      <c r="C239" s="27"/>
      <c r="D239" s="27"/>
      <c r="E239" s="27"/>
      <c r="F239" s="115"/>
      <c r="G239" s="115">
        <f aca="true" t="shared" si="20" ref="G239">D239*F239</f>
        <v>0</v>
      </c>
    </row>
    <row r="240" spans="3:7" ht="17.25" thickBot="1" thickTop="1">
      <c r="C240" s="28"/>
      <c r="D240" s="543" t="s">
        <v>94</v>
      </c>
      <c r="E240" s="544"/>
      <c r="F240" s="545"/>
      <c r="G240" s="117">
        <f>G221+G229+G236</f>
        <v>0.18874912367724866</v>
      </c>
    </row>
    <row r="241" ht="15.75" thickTop="1"/>
    <row r="243" spans="3:7" ht="19.5" thickBot="1">
      <c r="C243" s="546" t="str">
        <f>PLATOS!E19</f>
        <v>COSTO-BEBIDAS'!C241</v>
      </c>
      <c r="D243" s="546"/>
      <c r="E243" s="546"/>
      <c r="F243" s="546"/>
      <c r="G243" s="546"/>
    </row>
    <row r="244" spans="4:7" ht="15.75" thickBot="1">
      <c r="D244" s="31" t="s">
        <v>96</v>
      </c>
      <c r="E244" s="31"/>
      <c r="F244" s="119" t="s">
        <v>95</v>
      </c>
      <c r="G244" s="113" t="s">
        <v>97</v>
      </c>
    </row>
    <row r="245" spans="3:7" ht="15.75" thickBot="1">
      <c r="C245" s="547" t="s">
        <v>91</v>
      </c>
      <c r="D245" s="548"/>
      <c r="E245" s="548"/>
      <c r="F245" s="549"/>
      <c r="G245" s="114">
        <f>SUM(G246:G252)</f>
        <v>0</v>
      </c>
    </row>
    <row r="246" spans="3:7" ht="15">
      <c r="C246" s="25"/>
      <c r="D246" s="25"/>
      <c r="E246" s="25"/>
      <c r="F246" s="120"/>
      <c r="G246" s="115">
        <f>D246*F246</f>
        <v>0</v>
      </c>
    </row>
    <row r="247" spans="3:7" ht="15">
      <c r="C247" s="27"/>
      <c r="D247" s="27"/>
      <c r="E247" s="27"/>
      <c r="F247" s="115"/>
      <c r="G247" s="115">
        <f aca="true" t="shared" si="21" ref="G247:G252">D247*F247</f>
        <v>0</v>
      </c>
    </row>
    <row r="248" spans="3:7" ht="15">
      <c r="C248" s="27"/>
      <c r="D248" s="27"/>
      <c r="E248" s="27"/>
      <c r="F248" s="115"/>
      <c r="G248" s="115">
        <f t="shared" si="21"/>
        <v>0</v>
      </c>
    </row>
    <row r="249" spans="3:7" ht="15">
      <c r="C249" s="27"/>
      <c r="D249" s="27"/>
      <c r="E249" s="27"/>
      <c r="F249" s="115"/>
      <c r="G249" s="115">
        <f t="shared" si="21"/>
        <v>0</v>
      </c>
    </row>
    <row r="250" spans="3:7" ht="15">
      <c r="C250" s="27"/>
      <c r="D250" s="27"/>
      <c r="E250" s="27"/>
      <c r="F250" s="115"/>
      <c r="G250" s="115">
        <f t="shared" si="21"/>
        <v>0</v>
      </c>
    </row>
    <row r="251" spans="3:7" ht="15">
      <c r="C251" s="27"/>
      <c r="D251" s="27"/>
      <c r="E251" s="27"/>
      <c r="F251" s="115"/>
      <c r="G251" s="115">
        <f t="shared" si="21"/>
        <v>0</v>
      </c>
    </row>
    <row r="252" spans="3:7" ht="15.75" thickBot="1">
      <c r="C252" s="22"/>
      <c r="D252" s="22"/>
      <c r="E252" s="22"/>
      <c r="F252" s="121"/>
      <c r="G252" s="115">
        <f t="shared" si="21"/>
        <v>0</v>
      </c>
    </row>
    <row r="253" spans="3:7" ht="15.75" thickBot="1">
      <c r="C253" s="135" t="s">
        <v>92</v>
      </c>
      <c r="D253" s="38" t="s">
        <v>185</v>
      </c>
      <c r="E253" s="39"/>
      <c r="F253" s="122" t="s">
        <v>184</v>
      </c>
      <c r="G253" s="116">
        <f>SUM(G254:G259)</f>
        <v>0.08666666666666667</v>
      </c>
    </row>
    <row r="254" spans="3:7" ht="15">
      <c r="C254" s="41" t="s">
        <v>186</v>
      </c>
      <c r="D254" s="40"/>
      <c r="E254" s="40"/>
      <c r="F254" s="120"/>
      <c r="G254" s="115"/>
    </row>
    <row r="255" spans="3:7" ht="15">
      <c r="C255" s="25" t="s">
        <v>140</v>
      </c>
      <c r="D255" s="67">
        <f>'TIEMPO P.P.'!$F$8/'TIEMPO P.P.'!$H$3</f>
        <v>0.016</v>
      </c>
      <c r="E255" s="67"/>
      <c r="F255" s="120">
        <f>IF(DATOS!$I$9&gt;0,(DATOS!$C$4*'TIEMPO P.P.'!$I$3)/240,0)</f>
        <v>0</v>
      </c>
      <c r="G255" s="115">
        <f>D255*F255</f>
        <v>0</v>
      </c>
    </row>
    <row r="256" spans="3:7" ht="15">
      <c r="C256" s="25" t="s">
        <v>78</v>
      </c>
      <c r="D256" s="67">
        <f>'TIEMPO P.P.'!$F$19/'TIEMPO P.P.'!$H$3</f>
        <v>0.03022222222222222</v>
      </c>
      <c r="E256" s="67"/>
      <c r="F256" s="120">
        <f>IF(DATOS!$J$9&gt;0,DATOS!$C$5*'TIEMPO P.P.'!$I$14/240,0)</f>
        <v>0</v>
      </c>
      <c r="G256" s="115">
        <f>F256*D256</f>
        <v>0</v>
      </c>
    </row>
    <row r="257" spans="3:7" ht="15">
      <c r="C257" s="41" t="s">
        <v>187</v>
      </c>
      <c r="D257" s="42"/>
      <c r="E257" s="42"/>
      <c r="F257" s="120"/>
      <c r="G257" s="115"/>
    </row>
    <row r="258" spans="3:7" ht="15">
      <c r="C258" s="27" t="s">
        <v>140</v>
      </c>
      <c r="D258" s="68">
        <f>D255</f>
        <v>0.016</v>
      </c>
      <c r="E258" s="68"/>
      <c r="F258" s="115">
        <f>IF(DATOS!$I$14&gt;0,DATOS!$C$7*'TIEMPO P.P.'!$I$3/8,0)</f>
        <v>1.875</v>
      </c>
      <c r="G258" s="115">
        <f>D258*F258</f>
        <v>0.03</v>
      </c>
    </row>
    <row r="259" spans="3:7" ht="15.75" thickBot="1">
      <c r="C259" s="22" t="s">
        <v>78</v>
      </c>
      <c r="D259" s="71">
        <f>D256</f>
        <v>0.03022222222222222</v>
      </c>
      <c r="E259" s="71"/>
      <c r="F259" s="115">
        <f>IF(DATOS!$J$14&gt;0,DATOS!$C$8*'TIEMPO P.P.'!$I$14/8,0)</f>
        <v>1.875</v>
      </c>
      <c r="G259" s="115">
        <f>D259*F259</f>
        <v>0.056666666666666664</v>
      </c>
    </row>
    <row r="260" spans="3:7" ht="15.75" thickBot="1">
      <c r="C260" s="135" t="s">
        <v>93</v>
      </c>
      <c r="D260" s="38" t="s">
        <v>193</v>
      </c>
      <c r="E260" s="39"/>
      <c r="F260" s="122" t="s">
        <v>198</v>
      </c>
      <c r="G260" s="116">
        <f>SUM(G261:G263)</f>
        <v>0.10208245701058201</v>
      </c>
    </row>
    <row r="261" spans="3:7" ht="15">
      <c r="C261" s="25" t="s">
        <v>191</v>
      </c>
      <c r="D261" s="70">
        <f>('TIEMPO P.P.'!$E$8+'TIEMPO P.P.'!$E$19)/2</f>
        <v>0.08666666666666667</v>
      </c>
      <c r="E261" s="70"/>
      <c r="F261" s="120">
        <f>IF(DATOS!$F$51=0,DATOS!$F$20,DATOS!$F$51)</f>
        <v>1.1778745039682539</v>
      </c>
      <c r="G261" s="115">
        <f>D261*$F$26</f>
        <v>0.10208245701058201</v>
      </c>
    </row>
    <row r="262" spans="3:7" ht="15">
      <c r="C262" s="27" t="s">
        <v>192</v>
      </c>
      <c r="D262" s="69">
        <f>D261</f>
        <v>0.08666666666666667</v>
      </c>
      <c r="E262" s="69"/>
      <c r="F262" s="115">
        <f>DATOS!$F$65/ORDEN!$D$34</f>
        <v>0</v>
      </c>
      <c r="G262" s="115">
        <f>D262*$F$27</f>
        <v>0</v>
      </c>
    </row>
    <row r="263" spans="3:7" ht="15.75" thickBot="1">
      <c r="C263" s="27"/>
      <c r="D263" s="27"/>
      <c r="E263" s="27"/>
      <c r="F263" s="115"/>
      <c r="G263" s="115">
        <f aca="true" t="shared" si="22" ref="G263">D263*F263</f>
        <v>0</v>
      </c>
    </row>
    <row r="264" spans="3:7" ht="17.25" thickBot="1" thickTop="1">
      <c r="C264" s="28"/>
      <c r="D264" s="543" t="s">
        <v>94</v>
      </c>
      <c r="E264" s="544"/>
      <c r="F264" s="545"/>
      <c r="G264" s="117">
        <f>G245+G253+G260</f>
        <v>0.18874912367724866</v>
      </c>
    </row>
    <row r="265" ht="15.75" thickTop="1"/>
    <row r="268" spans="3:7" ht="19.5" thickBot="1">
      <c r="C268" s="546" t="str">
        <f>PLATOS!E20</f>
        <v>COSTO-BEBIDAS'!C263</v>
      </c>
      <c r="D268" s="546"/>
      <c r="E268" s="546"/>
      <c r="F268" s="546"/>
      <c r="G268" s="546"/>
    </row>
    <row r="269" spans="4:7" ht="15.75" thickBot="1">
      <c r="D269" s="31" t="s">
        <v>96</v>
      </c>
      <c r="E269" s="31"/>
      <c r="F269" s="119" t="s">
        <v>95</v>
      </c>
      <c r="G269" s="113" t="s">
        <v>97</v>
      </c>
    </row>
    <row r="270" spans="3:7" ht="15.75" thickBot="1">
      <c r="C270" s="547" t="s">
        <v>91</v>
      </c>
      <c r="D270" s="548"/>
      <c r="E270" s="548"/>
      <c r="F270" s="549"/>
      <c r="G270" s="114">
        <f>SUM(G271:G277)</f>
        <v>0</v>
      </c>
    </row>
    <row r="271" spans="3:7" ht="15">
      <c r="C271" s="25"/>
      <c r="D271" s="25"/>
      <c r="E271" s="25"/>
      <c r="F271" s="120"/>
      <c r="G271" s="115">
        <f>D271*F271</f>
        <v>0</v>
      </c>
    </row>
    <row r="272" spans="3:7" ht="15">
      <c r="C272" s="27"/>
      <c r="D272" s="27"/>
      <c r="E272" s="27"/>
      <c r="F272" s="115"/>
      <c r="G272" s="115">
        <f aca="true" t="shared" si="23" ref="G272:G277">D272*F272</f>
        <v>0</v>
      </c>
    </row>
    <row r="273" spans="3:7" ht="15">
      <c r="C273" s="27"/>
      <c r="D273" s="27"/>
      <c r="E273" s="27"/>
      <c r="F273" s="115"/>
      <c r="G273" s="115">
        <f t="shared" si="23"/>
        <v>0</v>
      </c>
    </row>
    <row r="274" spans="3:7" ht="15">
      <c r="C274" s="27"/>
      <c r="D274" s="27"/>
      <c r="E274" s="27"/>
      <c r="F274" s="115"/>
      <c r="G274" s="115">
        <f t="shared" si="23"/>
        <v>0</v>
      </c>
    </row>
    <row r="275" spans="3:7" ht="15">
      <c r="C275" s="27"/>
      <c r="D275" s="27"/>
      <c r="E275" s="27"/>
      <c r="F275" s="115"/>
      <c r="G275" s="115">
        <f t="shared" si="23"/>
        <v>0</v>
      </c>
    </row>
    <row r="276" spans="3:7" ht="15">
      <c r="C276" s="27"/>
      <c r="D276" s="27"/>
      <c r="E276" s="27"/>
      <c r="F276" s="115"/>
      <c r="G276" s="115">
        <f t="shared" si="23"/>
        <v>0</v>
      </c>
    </row>
    <row r="277" spans="3:7" ht="15.75" thickBot="1">
      <c r="C277" s="22"/>
      <c r="D277" s="22"/>
      <c r="E277" s="22"/>
      <c r="F277" s="121"/>
      <c r="G277" s="115">
        <f t="shared" si="23"/>
        <v>0</v>
      </c>
    </row>
    <row r="278" spans="3:7" ht="15.75" thickBot="1">
      <c r="C278" s="135" t="s">
        <v>92</v>
      </c>
      <c r="D278" s="38" t="s">
        <v>185</v>
      </c>
      <c r="E278" s="39"/>
      <c r="F278" s="122" t="s">
        <v>184</v>
      </c>
      <c r="G278" s="116">
        <f>SUM(G279:G284)</f>
        <v>0.08666666666666667</v>
      </c>
    </row>
    <row r="279" spans="3:7" ht="15">
      <c r="C279" s="41" t="s">
        <v>186</v>
      </c>
      <c r="D279" s="40"/>
      <c r="E279" s="40"/>
      <c r="F279" s="120"/>
      <c r="G279" s="115"/>
    </row>
    <row r="280" spans="3:7" ht="15">
      <c r="C280" s="25" t="s">
        <v>140</v>
      </c>
      <c r="D280" s="67">
        <f>'TIEMPO P.P.'!$F$8/'TIEMPO P.P.'!$H$3</f>
        <v>0.016</v>
      </c>
      <c r="E280" s="67"/>
      <c r="F280" s="120">
        <f>IF(DATOS!$I$9&gt;0,(DATOS!$C$4*'TIEMPO P.P.'!$I$3)/240,0)</f>
        <v>0</v>
      </c>
      <c r="G280" s="115">
        <f>D280*F280</f>
        <v>0</v>
      </c>
    </row>
    <row r="281" spans="3:7" ht="15">
      <c r="C281" s="25" t="s">
        <v>78</v>
      </c>
      <c r="D281" s="67">
        <f>'TIEMPO P.P.'!$F$19/'TIEMPO P.P.'!$H$3</f>
        <v>0.03022222222222222</v>
      </c>
      <c r="E281" s="67"/>
      <c r="F281" s="120">
        <f>IF(DATOS!$J$9&gt;0,DATOS!$C$5*'TIEMPO P.P.'!$I$14/240,0)</f>
        <v>0</v>
      </c>
      <c r="G281" s="115">
        <f>F281*D281</f>
        <v>0</v>
      </c>
    </row>
    <row r="282" spans="3:7" ht="15">
      <c r="C282" s="41" t="s">
        <v>187</v>
      </c>
      <c r="D282" s="42"/>
      <c r="E282" s="42"/>
      <c r="F282" s="120"/>
      <c r="G282" s="115"/>
    </row>
    <row r="283" spans="3:7" ht="15">
      <c r="C283" s="27" t="s">
        <v>140</v>
      </c>
      <c r="D283" s="68">
        <f>D280</f>
        <v>0.016</v>
      </c>
      <c r="E283" s="68"/>
      <c r="F283" s="115">
        <f>IF(DATOS!$I$14&gt;0,DATOS!$C$7*'TIEMPO P.P.'!$I$3/8,0)</f>
        <v>1.875</v>
      </c>
      <c r="G283" s="115">
        <f>D283*F283</f>
        <v>0.03</v>
      </c>
    </row>
    <row r="284" spans="3:7" ht="15.75" thickBot="1">
      <c r="C284" s="22" t="s">
        <v>78</v>
      </c>
      <c r="D284" s="71">
        <f>D281</f>
        <v>0.03022222222222222</v>
      </c>
      <c r="E284" s="71"/>
      <c r="F284" s="115">
        <f>IF(DATOS!$J$14&gt;0,DATOS!$C$8*'TIEMPO P.P.'!$I$14/8,0)</f>
        <v>1.875</v>
      </c>
      <c r="G284" s="115">
        <f>D284*F284</f>
        <v>0.056666666666666664</v>
      </c>
    </row>
    <row r="285" spans="3:7" ht="15.75" thickBot="1">
      <c r="C285" s="135" t="s">
        <v>93</v>
      </c>
      <c r="D285" s="38" t="s">
        <v>193</v>
      </c>
      <c r="E285" s="39"/>
      <c r="F285" s="122" t="s">
        <v>198</v>
      </c>
      <c r="G285" s="116">
        <f>SUM(G286:G288)</f>
        <v>0.10208245701058201</v>
      </c>
    </row>
    <row r="286" spans="3:7" ht="15">
      <c r="C286" s="25" t="s">
        <v>191</v>
      </c>
      <c r="D286" s="70">
        <f>('TIEMPO P.P.'!$E$8+'TIEMPO P.P.'!$E$19)/2</f>
        <v>0.08666666666666667</v>
      </c>
      <c r="E286" s="70"/>
      <c r="F286" s="120">
        <f>IF(DATOS!$F$51=0,DATOS!$F$20,DATOS!$F$51)</f>
        <v>1.1778745039682539</v>
      </c>
      <c r="G286" s="115">
        <f>D286*$F$26</f>
        <v>0.10208245701058201</v>
      </c>
    </row>
    <row r="287" spans="3:7" ht="15">
      <c r="C287" s="27" t="s">
        <v>192</v>
      </c>
      <c r="D287" s="69">
        <f>D286</f>
        <v>0.08666666666666667</v>
      </c>
      <c r="E287" s="69"/>
      <c r="F287" s="115">
        <f>DATOS!$F$65/ORDEN!$D$34</f>
        <v>0</v>
      </c>
      <c r="G287" s="115">
        <f>D287*$F$27</f>
        <v>0</v>
      </c>
    </row>
    <row r="288" spans="3:7" ht="15.75" thickBot="1">
      <c r="C288" s="27"/>
      <c r="D288" s="27"/>
      <c r="E288" s="27"/>
      <c r="F288" s="115"/>
      <c r="G288" s="115">
        <f aca="true" t="shared" si="24" ref="G288">D288*F288</f>
        <v>0</v>
      </c>
    </row>
    <row r="289" spans="3:7" ht="17.25" thickBot="1" thickTop="1">
      <c r="C289" s="28"/>
      <c r="D289" s="543" t="s">
        <v>94</v>
      </c>
      <c r="E289" s="544"/>
      <c r="F289" s="545"/>
      <c r="G289" s="117">
        <f>G270+G278+G285</f>
        <v>0.18874912367724866</v>
      </c>
    </row>
    <row r="290" ht="15.75" thickTop="1"/>
  </sheetData>
  <mergeCells count="41">
    <mergeCell ref="D48:F48"/>
    <mergeCell ref="C1:H1"/>
    <mergeCell ref="C3:H3"/>
    <mergeCell ref="C5:G5"/>
    <mergeCell ref="C7:F7"/>
    <mergeCell ref="D29:F29"/>
    <mergeCell ref="C32:G32"/>
    <mergeCell ref="C34:F34"/>
    <mergeCell ref="C95:F95"/>
    <mergeCell ref="C52:G52"/>
    <mergeCell ref="C54:F54"/>
    <mergeCell ref="D69:F69"/>
    <mergeCell ref="C72:G72"/>
    <mergeCell ref="C74:F74"/>
    <mergeCell ref="D89:F89"/>
    <mergeCell ref="C93:G93"/>
    <mergeCell ref="D110:F110"/>
    <mergeCell ref="C113:G113"/>
    <mergeCell ref="C115:F115"/>
    <mergeCell ref="D130:F130"/>
    <mergeCell ref="C134:G134"/>
    <mergeCell ref="C136:F136"/>
    <mergeCell ref="C194:G194"/>
    <mergeCell ref="D151:F151"/>
    <mergeCell ref="C154:G154"/>
    <mergeCell ref="C156:F156"/>
    <mergeCell ref="D171:F171"/>
    <mergeCell ref="C175:G175"/>
    <mergeCell ref="C177:F177"/>
    <mergeCell ref="D191:F191"/>
    <mergeCell ref="C196:F196"/>
    <mergeCell ref="D215:F215"/>
    <mergeCell ref="C219:G219"/>
    <mergeCell ref="C221:F221"/>
    <mergeCell ref="D240:F240"/>
    <mergeCell ref="C243:G243"/>
    <mergeCell ref="C245:F245"/>
    <mergeCell ref="D289:F289"/>
    <mergeCell ref="D264:F264"/>
    <mergeCell ref="C268:G268"/>
    <mergeCell ref="C270:F270"/>
  </mergeCells>
  <printOptions/>
  <pageMargins left="0.7" right="0.7" top="0.75" bottom="0.75" header="0.3" footer="0.3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">
    <tabColor rgb="FF00FF00"/>
  </sheetPr>
  <dimension ref="C1:H313"/>
  <sheetViews>
    <sheetView workbookViewId="0" topLeftCell="A1">
      <pane ySplit="3" topLeftCell="A145" activePane="bottomLeft" state="frozen"/>
      <selection pane="bottomLeft" activeCell="F152" sqref="F152"/>
    </sheetView>
  </sheetViews>
  <sheetFormatPr defaultColWidth="11.421875" defaultRowHeight="15"/>
  <cols>
    <col min="1" max="2" width="11.421875" style="21" customWidth="1"/>
    <col min="3" max="3" width="25.7109375" style="21" customWidth="1"/>
    <col min="4" max="5" width="11.421875" style="21" customWidth="1"/>
    <col min="6" max="6" width="11.421875" style="29" customWidth="1"/>
    <col min="7" max="7" width="12.00390625" style="29" customWidth="1"/>
    <col min="8" max="16384" width="11.421875" style="21" customWidth="1"/>
  </cols>
  <sheetData>
    <row r="1" spans="3:8" ht="19.5">
      <c r="C1" s="550" t="s">
        <v>98</v>
      </c>
      <c r="D1" s="550"/>
      <c r="E1" s="550"/>
      <c r="F1" s="550"/>
      <c r="G1" s="550"/>
      <c r="H1" s="550"/>
    </row>
    <row r="3" spans="3:8" ht="21">
      <c r="C3" s="551" t="s">
        <v>409</v>
      </c>
      <c r="D3" s="551"/>
      <c r="E3" s="551"/>
      <c r="F3" s="551"/>
      <c r="G3" s="551"/>
      <c r="H3" s="551"/>
    </row>
    <row r="5" spans="3:7" ht="19.5" thickBot="1">
      <c r="C5" s="546" t="str">
        <f>PLATOS!F8</f>
        <v>Duraznos con crema</v>
      </c>
      <c r="D5" s="546"/>
      <c r="E5" s="546"/>
      <c r="F5" s="546"/>
      <c r="G5" s="546"/>
    </row>
    <row r="6" spans="4:7" ht="15.75" thickBot="1">
      <c r="D6" s="31" t="s">
        <v>96</v>
      </c>
      <c r="E6" s="31"/>
      <c r="F6" s="32" t="s">
        <v>95</v>
      </c>
      <c r="G6" s="30" t="s">
        <v>97</v>
      </c>
    </row>
    <row r="7" spans="3:7" ht="15.75" thickBot="1">
      <c r="C7" s="547" t="s">
        <v>91</v>
      </c>
      <c r="D7" s="548"/>
      <c r="E7" s="548"/>
      <c r="F7" s="549"/>
      <c r="G7" s="24">
        <f>SUM(G8:G10)</f>
        <v>0.2909949</v>
      </c>
    </row>
    <row r="8" spans="3:7" ht="15">
      <c r="C8" s="27" t="s">
        <v>391</v>
      </c>
      <c r="D8" s="163">
        <v>0.04</v>
      </c>
      <c r="E8" s="27" t="s">
        <v>283</v>
      </c>
      <c r="F8" s="12">
        <f>'LISTA DE PRODUCTOS'!$G$78</f>
        <v>6</v>
      </c>
      <c r="G8" s="12">
        <f aca="true" t="shared" si="0" ref="G8:G22">D8*F8</f>
        <v>0.24</v>
      </c>
    </row>
    <row r="9" spans="3:7" ht="15">
      <c r="C9" s="27" t="s">
        <v>390</v>
      </c>
      <c r="D9" s="27">
        <v>18.18</v>
      </c>
      <c r="E9" s="27" t="s">
        <v>284</v>
      </c>
      <c r="F9" s="12">
        <f>'LISTA DE PRODUCTOS'!$G$77</f>
        <v>0.0016500000000000002</v>
      </c>
      <c r="G9" s="12">
        <f t="shared" si="0"/>
        <v>0.029997000000000003</v>
      </c>
    </row>
    <row r="10" spans="3:7" ht="15">
      <c r="C10" s="27" t="s">
        <v>305</v>
      </c>
      <c r="D10" s="27">
        <v>27.27</v>
      </c>
      <c r="E10" s="27" t="s">
        <v>284</v>
      </c>
      <c r="F10" s="115">
        <f>'LISTA DE PRODUCTOS'!$G$72</f>
        <v>0.0007700000000000001</v>
      </c>
      <c r="G10" s="12">
        <f t="shared" si="0"/>
        <v>0.0209979</v>
      </c>
    </row>
    <row r="11" spans="3:7" ht="15.75" thickBot="1">
      <c r="C11" s="2"/>
      <c r="D11" s="2"/>
      <c r="E11" s="2"/>
      <c r="F11" s="18"/>
      <c r="G11" s="18"/>
    </row>
    <row r="12" spans="3:7" ht="15.75" thickBot="1">
      <c r="C12" s="135" t="s">
        <v>92</v>
      </c>
      <c r="D12" s="38" t="s">
        <v>185</v>
      </c>
      <c r="E12" s="39"/>
      <c r="F12" s="39" t="s">
        <v>184</v>
      </c>
      <c r="G12" s="76">
        <f>SUM(G13:G18)</f>
        <v>0.09166666666666666</v>
      </c>
    </row>
    <row r="13" spans="3:7" ht="15">
      <c r="C13" s="41" t="s">
        <v>186</v>
      </c>
      <c r="D13" s="40"/>
      <c r="E13" s="40"/>
      <c r="F13" s="26"/>
      <c r="G13" s="12"/>
    </row>
    <row r="14" spans="3:7" ht="15">
      <c r="C14" s="25" t="s">
        <v>140</v>
      </c>
      <c r="D14" s="67">
        <f>'TIEMPO P.P.'!$F$9/'TIEMPO P.P.'!$H$3</f>
        <v>0.016</v>
      </c>
      <c r="E14" s="67"/>
      <c r="F14" s="26">
        <f>IF(DATOS!$I$9&gt;0,(DATOS!$C$4*'TIEMPO P.P.'!$I$3)/240,0)</f>
        <v>0</v>
      </c>
      <c r="G14" s="12">
        <f>D14*F14</f>
        <v>0</v>
      </c>
    </row>
    <row r="15" spans="3:7" ht="15">
      <c r="C15" s="25" t="s">
        <v>78</v>
      </c>
      <c r="D15" s="67">
        <f>'TIEMPO P.P.'!$F$20/'TIEMPO P.P.'!$H$3</f>
        <v>0.032888888888888884</v>
      </c>
      <c r="E15" s="67"/>
      <c r="F15" s="26">
        <f>IF(DATOS!$J$9&gt;0,DATOS!$C$5*'TIEMPO P.P.'!$I$14/240,0)</f>
        <v>0</v>
      </c>
      <c r="G15" s="12">
        <f>F15*D15</f>
        <v>0</v>
      </c>
    </row>
    <row r="16" spans="3:7" ht="15">
      <c r="C16" s="41" t="s">
        <v>187</v>
      </c>
      <c r="D16" s="42"/>
      <c r="E16" s="42"/>
      <c r="F16" s="26"/>
      <c r="G16" s="12"/>
    </row>
    <row r="17" spans="3:7" ht="15">
      <c r="C17" s="27" t="s">
        <v>140</v>
      </c>
      <c r="D17" s="68">
        <f>D14</f>
        <v>0.016</v>
      </c>
      <c r="E17" s="68"/>
      <c r="F17" s="12">
        <f>IF(DATOS!$I$14&gt;0,DATOS!$C$7*'TIEMPO P.P.'!$I$3/8,0)</f>
        <v>1.875</v>
      </c>
      <c r="G17" s="12">
        <f>D17*F17</f>
        <v>0.03</v>
      </c>
    </row>
    <row r="18" spans="3:7" ht="15.75" thickBot="1">
      <c r="C18" s="22" t="s">
        <v>78</v>
      </c>
      <c r="D18" s="71">
        <f>D15</f>
        <v>0.032888888888888884</v>
      </c>
      <c r="E18" s="71"/>
      <c r="F18" s="12">
        <f>IF(DATOS!$J$14&gt;0,DATOS!$C$8*'TIEMPO P.P.'!$I$14/8,0)</f>
        <v>1.875</v>
      </c>
      <c r="G18" s="12">
        <f>D18*F18</f>
        <v>0.06166666666666666</v>
      </c>
    </row>
    <row r="19" spans="3:7" ht="15.75" thickBot="1">
      <c r="C19" s="135" t="s">
        <v>93</v>
      </c>
      <c r="D19" s="38" t="s">
        <v>193</v>
      </c>
      <c r="E19" s="39"/>
      <c r="F19" s="39" t="s">
        <v>198</v>
      </c>
      <c r="G19" s="76">
        <f>SUM(G20:G22)</f>
        <v>0.10797182953042327</v>
      </c>
    </row>
    <row r="20" spans="3:7" ht="15">
      <c r="C20" s="25" t="s">
        <v>191</v>
      </c>
      <c r="D20" s="70">
        <f>('TIEMPO P.P.'!$E$9+'TIEMPO P.P.'!$E$20)/2</f>
        <v>0.09166666666666666</v>
      </c>
      <c r="E20" s="70"/>
      <c r="F20" s="26">
        <f>IF(DATOS!$F$51=0,DATOS!$F$20,DATOS!$F$51)</f>
        <v>1.1778745039682539</v>
      </c>
      <c r="G20" s="12">
        <f>D20*$F$20</f>
        <v>0.10797182953042327</v>
      </c>
    </row>
    <row r="21" spans="3:7" ht="15">
      <c r="C21" s="27" t="s">
        <v>192</v>
      </c>
      <c r="D21" s="69">
        <f>D20</f>
        <v>0.09166666666666666</v>
      </c>
      <c r="E21" s="69"/>
      <c r="F21" s="12">
        <f>DATOS!$F$65/ORDEN!$D$34</f>
        <v>0</v>
      </c>
      <c r="G21" s="12">
        <f>D21*$F$21</f>
        <v>0</v>
      </c>
    </row>
    <row r="22" spans="3:7" ht="15.75" thickBot="1">
      <c r="C22" s="27"/>
      <c r="D22" s="27"/>
      <c r="E22" s="27"/>
      <c r="F22" s="12"/>
      <c r="G22" s="12">
        <f t="shared" si="0"/>
        <v>0</v>
      </c>
    </row>
    <row r="23" spans="3:7" ht="17.25" thickBot="1" thickTop="1">
      <c r="C23" s="28"/>
      <c r="D23" s="543" t="s">
        <v>94</v>
      </c>
      <c r="E23" s="544"/>
      <c r="F23" s="545"/>
      <c r="G23" s="20">
        <f>G7+G12+G19</f>
        <v>0.49063339619708995</v>
      </c>
    </row>
    <row r="24" ht="15.75" thickTop="1"/>
    <row r="26" spans="3:7" ht="19.5" thickBot="1">
      <c r="C26" s="546" t="str">
        <f>PLATOS!F9</f>
        <v>Duraznos en almibar</v>
      </c>
      <c r="D26" s="546"/>
      <c r="E26" s="546"/>
      <c r="F26" s="546"/>
      <c r="G26" s="546"/>
    </row>
    <row r="27" spans="4:7" ht="15.75" thickBot="1">
      <c r="D27" s="31" t="s">
        <v>96</v>
      </c>
      <c r="E27" s="31"/>
      <c r="F27" s="32" t="s">
        <v>95</v>
      </c>
      <c r="G27" s="30" t="s">
        <v>97</v>
      </c>
    </row>
    <row r="28" spans="3:7" ht="15.75" thickBot="1">
      <c r="C28" s="547" t="s">
        <v>91</v>
      </c>
      <c r="D28" s="548"/>
      <c r="E28" s="548"/>
      <c r="F28" s="549"/>
      <c r="G28" s="24">
        <f>SUM(G29:G29)</f>
        <v>0.24</v>
      </c>
    </row>
    <row r="29" spans="3:7" ht="15">
      <c r="C29" s="27" t="s">
        <v>391</v>
      </c>
      <c r="D29" s="163">
        <v>0.04</v>
      </c>
      <c r="E29" s="27" t="s">
        <v>283</v>
      </c>
      <c r="F29" s="12">
        <f>'LISTA DE PRODUCTOS'!$G$78</f>
        <v>6</v>
      </c>
      <c r="G29" s="12">
        <f aca="true" t="shared" si="1" ref="G29">D29*F29</f>
        <v>0.24</v>
      </c>
    </row>
    <row r="30" spans="3:7" ht="15.75" thickBot="1">
      <c r="C30" s="2"/>
      <c r="D30" s="2"/>
      <c r="E30" s="2"/>
      <c r="F30" s="18"/>
      <c r="G30" s="18"/>
    </row>
    <row r="31" spans="3:7" ht="15.75" thickBot="1">
      <c r="C31" s="135" t="s">
        <v>92</v>
      </c>
      <c r="D31" s="38" t="s">
        <v>185</v>
      </c>
      <c r="E31" s="39"/>
      <c r="F31" s="39" t="s">
        <v>184</v>
      </c>
      <c r="G31" s="76">
        <f>SUM(G32:G37)</f>
        <v>0.09166666666666666</v>
      </c>
    </row>
    <row r="32" spans="3:7" ht="15">
      <c r="C32" s="41" t="s">
        <v>186</v>
      </c>
      <c r="D32" s="40"/>
      <c r="E32" s="40"/>
      <c r="F32" s="26"/>
      <c r="G32" s="12"/>
    </row>
    <row r="33" spans="3:7" ht="15">
      <c r="C33" s="25" t="s">
        <v>140</v>
      </c>
      <c r="D33" s="67">
        <f>'TIEMPO P.P.'!$F$9/'TIEMPO P.P.'!$H$3</f>
        <v>0.016</v>
      </c>
      <c r="E33" s="67"/>
      <c r="F33" s="26">
        <f>IF(DATOS!$I$9&gt;0,(DATOS!$C$4*'TIEMPO P.P.'!$I$3)/240,0)</f>
        <v>0</v>
      </c>
      <c r="G33" s="12">
        <f>D33*F33</f>
        <v>0</v>
      </c>
    </row>
    <row r="34" spans="3:7" ht="15">
      <c r="C34" s="25" t="s">
        <v>78</v>
      </c>
      <c r="D34" s="67">
        <f>'TIEMPO P.P.'!$F$20/'TIEMPO P.P.'!$H$3</f>
        <v>0.032888888888888884</v>
      </c>
      <c r="E34" s="67"/>
      <c r="F34" s="26">
        <f>IF(DATOS!$J$9&gt;0,DATOS!$C$5*'TIEMPO P.P.'!$I$14/240,0)</f>
        <v>0</v>
      </c>
      <c r="G34" s="12">
        <f>F34*D34</f>
        <v>0</v>
      </c>
    </row>
    <row r="35" spans="3:7" ht="15">
      <c r="C35" s="41" t="s">
        <v>187</v>
      </c>
      <c r="D35" s="42"/>
      <c r="E35" s="42"/>
      <c r="F35" s="26"/>
      <c r="G35" s="12"/>
    </row>
    <row r="36" spans="3:7" ht="15">
      <c r="C36" s="27" t="s">
        <v>140</v>
      </c>
      <c r="D36" s="68">
        <f>D33</f>
        <v>0.016</v>
      </c>
      <c r="E36" s="68"/>
      <c r="F36" s="12">
        <f>IF(DATOS!$I$14&gt;0,DATOS!$C$7*'TIEMPO P.P.'!$I$3/8,0)</f>
        <v>1.875</v>
      </c>
      <c r="G36" s="12">
        <f>D36*F36</f>
        <v>0.03</v>
      </c>
    </row>
    <row r="37" spans="3:7" ht="15.75" thickBot="1">
      <c r="C37" s="22" t="s">
        <v>78</v>
      </c>
      <c r="D37" s="71">
        <f>D34</f>
        <v>0.032888888888888884</v>
      </c>
      <c r="E37" s="71"/>
      <c r="F37" s="12">
        <f>IF(DATOS!$J$14&gt;0,DATOS!$C$8*'TIEMPO P.P.'!$I$14/8,0)</f>
        <v>1.875</v>
      </c>
      <c r="G37" s="12">
        <f>D37*F37</f>
        <v>0.06166666666666666</v>
      </c>
    </row>
    <row r="38" spans="3:7" ht="15.75" thickBot="1">
      <c r="C38" s="135" t="s">
        <v>93</v>
      </c>
      <c r="D38" s="38" t="s">
        <v>193</v>
      </c>
      <c r="E38" s="39"/>
      <c r="F38" s="39" t="s">
        <v>198</v>
      </c>
      <c r="G38" s="76">
        <f>SUM(G39:G41)</f>
        <v>0.10797182953042327</v>
      </c>
    </row>
    <row r="39" spans="3:7" ht="15">
      <c r="C39" s="25" t="s">
        <v>191</v>
      </c>
      <c r="D39" s="70">
        <f>('TIEMPO P.P.'!$E$9+'TIEMPO P.P.'!$E$20)/2</f>
        <v>0.09166666666666666</v>
      </c>
      <c r="E39" s="70"/>
      <c r="F39" s="26">
        <f>IF(DATOS!$F$51=0,DATOS!$F$20,DATOS!$F$51)</f>
        <v>1.1778745039682539</v>
      </c>
      <c r="G39" s="12">
        <f>D39*$F$20</f>
        <v>0.10797182953042327</v>
      </c>
    </row>
    <row r="40" spans="3:7" ht="15">
      <c r="C40" s="27" t="s">
        <v>192</v>
      </c>
      <c r="D40" s="69">
        <f>D39</f>
        <v>0.09166666666666666</v>
      </c>
      <c r="E40" s="69"/>
      <c r="F40" s="12">
        <f>DATOS!$F$65/ORDEN!$D$34</f>
        <v>0</v>
      </c>
      <c r="G40" s="12">
        <f>D40*$F$21</f>
        <v>0</v>
      </c>
    </row>
    <row r="41" spans="3:7" ht="15.75" thickBot="1">
      <c r="C41" s="27"/>
      <c r="D41" s="27"/>
      <c r="E41" s="27"/>
      <c r="F41" s="12"/>
      <c r="G41" s="12">
        <f aca="true" t="shared" si="2" ref="G41">D41*F41</f>
        <v>0</v>
      </c>
    </row>
    <row r="42" spans="3:7" ht="17.25" thickBot="1" thickTop="1">
      <c r="C42" s="28"/>
      <c r="D42" s="543" t="s">
        <v>94</v>
      </c>
      <c r="E42" s="544"/>
      <c r="F42" s="545"/>
      <c r="G42" s="20">
        <f>G28+G31+G38</f>
        <v>0.43963849619708995</v>
      </c>
    </row>
    <row r="43" ht="15.75" thickTop="1"/>
    <row r="46" spans="3:7" ht="19.5" thickBot="1">
      <c r="C46" s="546" t="str">
        <f>PLATOS!F10</f>
        <v>Ensalada de frutas</v>
      </c>
      <c r="D46" s="546"/>
      <c r="E46" s="546"/>
      <c r="F46" s="546"/>
      <c r="G46" s="546"/>
    </row>
    <row r="47" spans="4:7" ht="15.75" thickBot="1">
      <c r="D47" s="31" t="s">
        <v>96</v>
      </c>
      <c r="E47" s="31"/>
      <c r="F47" s="32" t="s">
        <v>95</v>
      </c>
      <c r="G47" s="30" t="s">
        <v>97</v>
      </c>
    </row>
    <row r="48" spans="3:7" ht="15.75" thickBot="1">
      <c r="C48" s="547" t="s">
        <v>91</v>
      </c>
      <c r="D48" s="548"/>
      <c r="E48" s="548"/>
      <c r="F48" s="549"/>
      <c r="G48" s="24">
        <f>SUM(G49:G61)</f>
        <v>0.19099489999999997</v>
      </c>
    </row>
    <row r="49" spans="3:7" ht="15">
      <c r="C49" s="25" t="s">
        <v>392</v>
      </c>
      <c r="D49" s="25">
        <v>36.36</v>
      </c>
      <c r="E49" s="25" t="s">
        <v>284</v>
      </c>
      <c r="F49" s="26">
        <f>'LISTA DE PRODUCTOS'!$G$90</f>
        <v>0.0022</v>
      </c>
      <c r="G49" s="12"/>
    </row>
    <row r="50" spans="3:7" ht="15">
      <c r="C50" s="25" t="s">
        <v>393</v>
      </c>
      <c r="D50" s="25">
        <v>36.36</v>
      </c>
      <c r="E50" s="25" t="s">
        <v>284</v>
      </c>
      <c r="F50" s="120">
        <f>'LISTA DE PRODUCTOS'!$G$89</f>
        <v>0.0022</v>
      </c>
      <c r="G50" s="12"/>
    </row>
    <row r="51" spans="3:7" ht="15">
      <c r="C51" s="25" t="s">
        <v>394</v>
      </c>
      <c r="D51" s="25">
        <v>36.36</v>
      </c>
      <c r="E51" s="25" t="s">
        <v>284</v>
      </c>
      <c r="F51" s="26">
        <f>'LISTA DE PRODUCTOS'!$G$84</f>
        <v>0.0022</v>
      </c>
      <c r="G51" s="12"/>
    </row>
    <row r="52" spans="3:7" ht="15">
      <c r="C52" s="25" t="s">
        <v>395</v>
      </c>
      <c r="D52" s="25">
        <v>36.36</v>
      </c>
      <c r="E52" s="25" t="s">
        <v>284</v>
      </c>
      <c r="F52" s="26">
        <f>'LISTA DE PRODUCTOS'!$G$94</f>
        <v>0.0022</v>
      </c>
      <c r="G52" s="12"/>
    </row>
    <row r="53" spans="3:7" ht="15">
      <c r="C53" s="25" t="s">
        <v>396</v>
      </c>
      <c r="D53" s="25">
        <v>36.36</v>
      </c>
      <c r="E53" s="25" t="s">
        <v>284</v>
      </c>
      <c r="F53" s="26">
        <f>'LISTA DE PRODUCTOS'!$G$79</f>
        <v>0.0022</v>
      </c>
      <c r="G53" s="12"/>
    </row>
    <row r="54" spans="3:7" ht="15">
      <c r="C54" s="25" t="s">
        <v>397</v>
      </c>
      <c r="D54" s="25">
        <v>36.36</v>
      </c>
      <c r="E54" s="25" t="s">
        <v>284</v>
      </c>
      <c r="F54" s="26">
        <f>'LISTA DE PRODUCTOS'!G91</f>
        <v>0.0022</v>
      </c>
      <c r="G54" s="12"/>
    </row>
    <row r="55" spans="3:7" ht="15">
      <c r="C55" s="25" t="s">
        <v>398</v>
      </c>
      <c r="D55" s="25">
        <v>36.36</v>
      </c>
      <c r="E55" s="25" t="s">
        <v>284</v>
      </c>
      <c r="F55" s="26">
        <f>'LISTA DE PRODUCTOS'!G88</f>
        <v>0.0022</v>
      </c>
      <c r="G55" s="12"/>
    </row>
    <row r="56" spans="3:7" ht="15">
      <c r="C56" s="25" t="s">
        <v>333</v>
      </c>
      <c r="D56" s="25">
        <v>18.18</v>
      </c>
      <c r="E56" s="25" t="s">
        <v>284</v>
      </c>
      <c r="F56" s="26">
        <f>'LISTA DE PRODUCTOS'!G46</f>
        <v>0.0022</v>
      </c>
      <c r="G56" s="12"/>
    </row>
    <row r="57" spans="3:7" ht="15">
      <c r="C57" s="25" t="s">
        <v>334</v>
      </c>
      <c r="D57" s="25">
        <v>27.27</v>
      </c>
      <c r="E57" s="25" t="s">
        <v>284</v>
      </c>
      <c r="F57" s="26">
        <f>'LISTA DE PRODUCTOS'!G24</f>
        <v>0.0006233333333333334</v>
      </c>
      <c r="G57" s="12"/>
    </row>
    <row r="58" spans="3:7" ht="15">
      <c r="C58" s="25" t="s">
        <v>399</v>
      </c>
      <c r="D58" s="25">
        <v>0.5</v>
      </c>
      <c r="E58" s="25" t="s">
        <v>284</v>
      </c>
      <c r="F58" s="26">
        <f>'LISTA DE PRODUCTOS'!G95</f>
        <v>0.011000000000000001</v>
      </c>
      <c r="G58" s="12"/>
    </row>
    <row r="59" spans="3:7" ht="15">
      <c r="C59" s="27" t="s">
        <v>390</v>
      </c>
      <c r="D59" s="27">
        <v>18.18</v>
      </c>
      <c r="E59" s="27" t="s">
        <v>284</v>
      </c>
      <c r="F59" s="12">
        <f>'LISTA DE PRODUCTOS'!$G$77</f>
        <v>0.0016500000000000002</v>
      </c>
      <c r="G59" s="12">
        <f aca="true" t="shared" si="3" ref="G59:G61">D59*F59</f>
        <v>0.029997000000000003</v>
      </c>
    </row>
    <row r="60" spans="3:7" ht="15">
      <c r="C60" s="27" t="s">
        <v>372</v>
      </c>
      <c r="D60" s="163">
        <v>0.05</v>
      </c>
      <c r="E60" s="27" t="s">
        <v>283</v>
      </c>
      <c r="F60" s="12">
        <f>'LISTA DE PRODUCTOS'!G56</f>
        <v>2.8</v>
      </c>
      <c r="G60" s="12">
        <f t="shared" si="3"/>
        <v>0.13999999999999999</v>
      </c>
    </row>
    <row r="61" spans="3:7" ht="15">
      <c r="C61" s="27" t="s">
        <v>305</v>
      </c>
      <c r="D61" s="25">
        <v>27.27</v>
      </c>
      <c r="E61" s="25" t="s">
        <v>284</v>
      </c>
      <c r="F61" s="115">
        <f>'LISTA DE PRODUCTOS'!$G$72</f>
        <v>0.0007700000000000001</v>
      </c>
      <c r="G61" s="12">
        <f t="shared" si="3"/>
        <v>0.0209979</v>
      </c>
    </row>
    <row r="62" spans="3:7" ht="15.75" thickBot="1">
      <c r="C62" s="2"/>
      <c r="D62" s="2"/>
      <c r="E62" s="2"/>
      <c r="F62" s="18"/>
      <c r="G62" s="18"/>
    </row>
    <row r="63" spans="3:7" ht="15.75" thickBot="1">
      <c r="C63" s="135" t="s">
        <v>92</v>
      </c>
      <c r="D63" s="38" t="s">
        <v>185</v>
      </c>
      <c r="E63" s="39"/>
      <c r="F63" s="39" t="s">
        <v>184</v>
      </c>
      <c r="G63" s="76">
        <f>SUM(G64:G69)</f>
        <v>0.09166666666666666</v>
      </c>
    </row>
    <row r="64" spans="3:7" ht="15">
      <c r="C64" s="41" t="s">
        <v>186</v>
      </c>
      <c r="D64" s="40"/>
      <c r="E64" s="40"/>
      <c r="F64" s="26"/>
      <c r="G64" s="12"/>
    </row>
    <row r="65" spans="3:7" ht="15">
      <c r="C65" s="25" t="s">
        <v>140</v>
      </c>
      <c r="D65" s="67">
        <f>'TIEMPO P.P.'!$F$9/'TIEMPO P.P.'!$H$3</f>
        <v>0.016</v>
      </c>
      <c r="E65" s="67"/>
      <c r="F65" s="26">
        <f>IF(DATOS!$I$9&gt;0,(DATOS!$C$4*'TIEMPO P.P.'!$I$3)/240,0)</f>
        <v>0</v>
      </c>
      <c r="G65" s="12">
        <f>D65*F65</f>
        <v>0</v>
      </c>
    </row>
    <row r="66" spans="3:7" ht="15">
      <c r="C66" s="25" t="s">
        <v>78</v>
      </c>
      <c r="D66" s="67">
        <f>'TIEMPO P.P.'!$F$20/'TIEMPO P.P.'!$H$3</f>
        <v>0.032888888888888884</v>
      </c>
      <c r="E66" s="67"/>
      <c r="F66" s="26">
        <f>IF(DATOS!$J$9&gt;0,DATOS!$C$5*'TIEMPO P.P.'!$I$14/240,0)</f>
        <v>0</v>
      </c>
      <c r="G66" s="12">
        <f>F66*D66</f>
        <v>0</v>
      </c>
    </row>
    <row r="67" spans="3:7" ht="15">
      <c r="C67" s="41" t="s">
        <v>187</v>
      </c>
      <c r="D67" s="42"/>
      <c r="E67" s="42"/>
      <c r="F67" s="26"/>
      <c r="G67" s="12"/>
    </row>
    <row r="68" spans="3:7" ht="15">
      <c r="C68" s="27" t="s">
        <v>140</v>
      </c>
      <c r="D68" s="68">
        <f>D65</f>
        <v>0.016</v>
      </c>
      <c r="E68" s="68"/>
      <c r="F68" s="12">
        <f>IF(DATOS!$I$14&gt;0,DATOS!$C$7*'TIEMPO P.P.'!$I$3/8,0)</f>
        <v>1.875</v>
      </c>
      <c r="G68" s="12">
        <f>D68*F68</f>
        <v>0.03</v>
      </c>
    </row>
    <row r="69" spans="3:7" ht="15.75" thickBot="1">
      <c r="C69" s="22" t="s">
        <v>78</v>
      </c>
      <c r="D69" s="71">
        <f>D66</f>
        <v>0.032888888888888884</v>
      </c>
      <c r="E69" s="71"/>
      <c r="F69" s="12">
        <f>IF(DATOS!$J$14&gt;0,DATOS!$C$8*'TIEMPO P.P.'!$I$14/8,0)</f>
        <v>1.875</v>
      </c>
      <c r="G69" s="12">
        <f>D69*F69</f>
        <v>0.06166666666666666</v>
      </c>
    </row>
    <row r="70" spans="3:7" ht="15.75" thickBot="1">
      <c r="C70" s="135" t="s">
        <v>93</v>
      </c>
      <c r="D70" s="38" t="s">
        <v>193</v>
      </c>
      <c r="E70" s="39"/>
      <c r="F70" s="39" t="s">
        <v>198</v>
      </c>
      <c r="G70" s="76">
        <f>SUM(G71:G73)</f>
        <v>0.10797182953042327</v>
      </c>
    </row>
    <row r="71" spans="3:7" ht="15">
      <c r="C71" s="25" t="s">
        <v>191</v>
      </c>
      <c r="D71" s="70">
        <f>('TIEMPO P.P.'!$E$9+'TIEMPO P.P.'!$E$20)/2</f>
        <v>0.09166666666666666</v>
      </c>
      <c r="E71" s="70"/>
      <c r="F71" s="26">
        <f>IF(DATOS!$F$51=0,DATOS!$F$20,DATOS!$F$51)</f>
        <v>1.1778745039682539</v>
      </c>
      <c r="G71" s="12">
        <f>D71*$F$20</f>
        <v>0.10797182953042327</v>
      </c>
    </row>
    <row r="72" spans="3:7" ht="15">
      <c r="C72" s="27" t="s">
        <v>192</v>
      </c>
      <c r="D72" s="69">
        <f>D71</f>
        <v>0.09166666666666666</v>
      </c>
      <c r="E72" s="69"/>
      <c r="F72" s="12">
        <f>DATOS!$F$65/ORDEN!$D$34</f>
        <v>0</v>
      </c>
      <c r="G72" s="12">
        <f>D72*$F$21</f>
        <v>0</v>
      </c>
    </row>
    <row r="73" spans="3:7" ht="15.75" thickBot="1">
      <c r="C73" s="27"/>
      <c r="D73" s="27"/>
      <c r="E73" s="27"/>
      <c r="F73" s="12"/>
      <c r="G73" s="12">
        <f aca="true" t="shared" si="4" ref="G73">D73*F73</f>
        <v>0</v>
      </c>
    </row>
    <row r="74" spans="3:7" ht="17.25" thickBot="1" thickTop="1">
      <c r="C74" s="28"/>
      <c r="D74" s="543" t="s">
        <v>94</v>
      </c>
      <c r="E74" s="544"/>
      <c r="F74" s="545"/>
      <c r="G74" s="20">
        <f>G48+G63+G70</f>
        <v>0.3906333961970899</v>
      </c>
    </row>
    <row r="75" ht="15.75" thickTop="1"/>
    <row r="77" spans="3:7" ht="19.5" thickBot="1">
      <c r="C77" s="546" t="str">
        <f>PLATOS!F11</f>
        <v>Frutillas con crema</v>
      </c>
      <c r="D77" s="546"/>
      <c r="E77" s="546"/>
      <c r="F77" s="546"/>
      <c r="G77" s="546"/>
    </row>
    <row r="78" spans="4:7" ht="15.75" thickBot="1">
      <c r="D78" s="31" t="s">
        <v>96</v>
      </c>
      <c r="E78" s="31"/>
      <c r="F78" s="32" t="s">
        <v>95</v>
      </c>
      <c r="G78" s="30" t="s">
        <v>97</v>
      </c>
    </row>
    <row r="79" spans="3:7" ht="15.75" thickBot="1">
      <c r="C79" s="547" t="s">
        <v>91</v>
      </c>
      <c r="D79" s="548"/>
      <c r="E79" s="548"/>
      <c r="F79" s="549"/>
      <c r="G79" s="24">
        <f>SUM(G80:G82)</f>
        <v>0.3510089</v>
      </c>
    </row>
    <row r="80" spans="3:7" ht="15">
      <c r="C80" s="27" t="s">
        <v>400</v>
      </c>
      <c r="D80" s="27">
        <v>136.37</v>
      </c>
      <c r="E80" s="27" t="s">
        <v>284</v>
      </c>
      <c r="F80" s="12">
        <f>'LISTA DE PRODUCTOS'!G79</f>
        <v>0.0022</v>
      </c>
      <c r="G80" s="12">
        <f aca="true" t="shared" si="5" ref="G80:G82">D80*F80</f>
        <v>0.300014</v>
      </c>
    </row>
    <row r="81" spans="3:7" ht="15">
      <c r="C81" s="27" t="s">
        <v>390</v>
      </c>
      <c r="D81" s="27">
        <v>18.18</v>
      </c>
      <c r="E81" s="27" t="s">
        <v>284</v>
      </c>
      <c r="F81" s="12">
        <f>'LISTA DE PRODUCTOS'!G77</f>
        <v>0.0016500000000000002</v>
      </c>
      <c r="G81" s="12">
        <f t="shared" si="5"/>
        <v>0.029997000000000003</v>
      </c>
    </row>
    <row r="82" spans="3:7" ht="15">
      <c r="C82" s="27" t="s">
        <v>305</v>
      </c>
      <c r="D82" s="27">
        <v>27.27</v>
      </c>
      <c r="E82" s="27" t="s">
        <v>284</v>
      </c>
      <c r="F82" s="115">
        <f>'LISTA DE PRODUCTOS'!$G$72</f>
        <v>0.0007700000000000001</v>
      </c>
      <c r="G82" s="12">
        <f t="shared" si="5"/>
        <v>0.0209979</v>
      </c>
    </row>
    <row r="83" spans="3:7" ht="15.75" thickBot="1">
      <c r="C83" s="2"/>
      <c r="D83" s="2"/>
      <c r="E83" s="2"/>
      <c r="F83" s="18"/>
      <c r="G83" s="18"/>
    </row>
    <row r="84" spans="3:7" ht="15.75" thickBot="1">
      <c r="C84" s="135" t="s">
        <v>92</v>
      </c>
      <c r="D84" s="38" t="s">
        <v>185</v>
      </c>
      <c r="E84" s="39"/>
      <c r="F84" s="39" t="s">
        <v>184</v>
      </c>
      <c r="G84" s="76">
        <f>SUM(G85:G90)</f>
        <v>0.09166666666666666</v>
      </c>
    </row>
    <row r="85" spans="3:7" ht="15">
      <c r="C85" s="41" t="s">
        <v>186</v>
      </c>
      <c r="D85" s="40"/>
      <c r="E85" s="40"/>
      <c r="F85" s="26"/>
      <c r="G85" s="12"/>
    </row>
    <row r="86" spans="3:7" ht="15">
      <c r="C86" s="25" t="s">
        <v>140</v>
      </c>
      <c r="D86" s="67">
        <f>'TIEMPO P.P.'!$F$9/'TIEMPO P.P.'!$H$3</f>
        <v>0.016</v>
      </c>
      <c r="E86" s="67"/>
      <c r="F86" s="26">
        <f>IF(DATOS!$I$9&gt;0,(DATOS!$C$4*'TIEMPO P.P.'!$I$3)/240,0)</f>
        <v>0</v>
      </c>
      <c r="G86" s="12">
        <f>D86*F86</f>
        <v>0</v>
      </c>
    </row>
    <row r="87" spans="3:7" ht="15">
      <c r="C87" s="25" t="s">
        <v>78</v>
      </c>
      <c r="D87" s="67">
        <f>'TIEMPO P.P.'!$F$20/'TIEMPO P.P.'!$H$3</f>
        <v>0.032888888888888884</v>
      </c>
      <c r="E87" s="67"/>
      <c r="F87" s="26">
        <f>IF(DATOS!$J$9&gt;0,DATOS!$C$5*'TIEMPO P.P.'!$I$14/240,0)</f>
        <v>0</v>
      </c>
      <c r="G87" s="12">
        <f>F87*D87</f>
        <v>0</v>
      </c>
    </row>
    <row r="88" spans="3:7" ht="15">
      <c r="C88" s="41" t="s">
        <v>187</v>
      </c>
      <c r="D88" s="42"/>
      <c r="E88" s="42"/>
      <c r="F88" s="26"/>
      <c r="G88" s="12"/>
    </row>
    <row r="89" spans="3:7" ht="15">
      <c r="C89" s="27" t="s">
        <v>140</v>
      </c>
      <c r="D89" s="68">
        <f>D86</f>
        <v>0.016</v>
      </c>
      <c r="E89" s="68"/>
      <c r="F89" s="12">
        <f>IF(DATOS!$I$14&gt;0,DATOS!$C$7*'TIEMPO P.P.'!$I$3/8,0)</f>
        <v>1.875</v>
      </c>
      <c r="G89" s="12">
        <f>D89*F89</f>
        <v>0.03</v>
      </c>
    </row>
    <row r="90" spans="3:7" ht="15.75" thickBot="1">
      <c r="C90" s="22" t="s">
        <v>78</v>
      </c>
      <c r="D90" s="71">
        <f>D87</f>
        <v>0.032888888888888884</v>
      </c>
      <c r="E90" s="71"/>
      <c r="F90" s="12">
        <f>IF(DATOS!$J$14&gt;0,DATOS!$C$8*'TIEMPO P.P.'!$I$14/8,0)</f>
        <v>1.875</v>
      </c>
      <c r="G90" s="12">
        <f>D90*F90</f>
        <v>0.06166666666666666</v>
      </c>
    </row>
    <row r="91" spans="3:7" ht="15.75" thickBot="1">
      <c r="C91" s="135" t="s">
        <v>93</v>
      </c>
      <c r="D91" s="38" t="s">
        <v>193</v>
      </c>
      <c r="E91" s="39"/>
      <c r="F91" s="39" t="s">
        <v>198</v>
      </c>
      <c r="G91" s="76">
        <f>SUM(G92:G94)</f>
        <v>0.10797182953042327</v>
      </c>
    </row>
    <row r="92" spans="3:7" ht="15">
      <c r="C92" s="25" t="s">
        <v>191</v>
      </c>
      <c r="D92" s="70">
        <f>('TIEMPO P.P.'!$E$9+'TIEMPO P.P.'!$E$20)/2</f>
        <v>0.09166666666666666</v>
      </c>
      <c r="E92" s="70"/>
      <c r="F92" s="26">
        <f>IF(DATOS!$F$51=0,DATOS!$F$20,DATOS!$F$51)</f>
        <v>1.1778745039682539</v>
      </c>
      <c r="G92" s="12">
        <f>D92*$F$20</f>
        <v>0.10797182953042327</v>
      </c>
    </row>
    <row r="93" spans="3:7" ht="15">
      <c r="C93" s="27" t="s">
        <v>192</v>
      </c>
      <c r="D93" s="69">
        <f>D92</f>
        <v>0.09166666666666666</v>
      </c>
      <c r="E93" s="69"/>
      <c r="F93" s="12">
        <f>DATOS!$F$65/ORDEN!$D$34</f>
        <v>0</v>
      </c>
      <c r="G93" s="12">
        <f>D93*$F$21</f>
        <v>0</v>
      </c>
    </row>
    <row r="94" spans="3:7" ht="15.75" thickBot="1">
      <c r="C94" s="27"/>
      <c r="D94" s="27"/>
      <c r="E94" s="27"/>
      <c r="F94" s="12"/>
      <c r="G94" s="12">
        <f aca="true" t="shared" si="6" ref="G94">D94*F94</f>
        <v>0</v>
      </c>
    </row>
    <row r="95" spans="3:7" ht="17.25" thickBot="1" thickTop="1">
      <c r="C95" s="28"/>
      <c r="D95" s="543" t="s">
        <v>94</v>
      </c>
      <c r="E95" s="544"/>
      <c r="F95" s="545"/>
      <c r="G95" s="20">
        <f>G79+G84+G91</f>
        <v>0.5506473961970899</v>
      </c>
    </row>
    <row r="96" ht="15.75" thickTop="1"/>
    <row r="99" spans="3:7" ht="19.5" thickBot="1">
      <c r="C99" s="546" t="str">
        <f>PLATOS!F12</f>
        <v>Frutillas en almibar</v>
      </c>
      <c r="D99" s="546"/>
      <c r="E99" s="546"/>
      <c r="F99" s="546"/>
      <c r="G99" s="546"/>
    </row>
    <row r="100" spans="4:7" ht="15.75" thickBot="1">
      <c r="D100" s="31" t="s">
        <v>96</v>
      </c>
      <c r="E100" s="31"/>
      <c r="F100" s="32" t="s">
        <v>95</v>
      </c>
      <c r="G100" s="30" t="s">
        <v>97</v>
      </c>
    </row>
    <row r="101" spans="3:7" ht="15.75" thickBot="1">
      <c r="C101" s="547" t="s">
        <v>91</v>
      </c>
      <c r="D101" s="548"/>
      <c r="E101" s="548"/>
      <c r="F101" s="549"/>
      <c r="G101" s="24">
        <f>SUM(G102:G105)</f>
        <v>0.3215619</v>
      </c>
    </row>
    <row r="102" spans="3:7" ht="15">
      <c r="C102" s="27" t="s">
        <v>400</v>
      </c>
      <c r="D102" s="27">
        <v>136.37</v>
      </c>
      <c r="E102" s="27" t="s">
        <v>284</v>
      </c>
      <c r="F102" s="12">
        <f>'LISTA DE PRODUCTOS'!G79</f>
        <v>0.0022</v>
      </c>
      <c r="G102" s="12">
        <f aca="true" t="shared" si="7" ref="G102:G105">D102*F102</f>
        <v>0.300014</v>
      </c>
    </row>
    <row r="103" spans="3:7" ht="15">
      <c r="C103" s="27" t="s">
        <v>305</v>
      </c>
      <c r="D103" s="27">
        <v>27.27</v>
      </c>
      <c r="E103" s="27" t="s">
        <v>284</v>
      </c>
      <c r="F103" s="115">
        <f>'LISTA DE PRODUCTOS'!$G$72</f>
        <v>0.0007700000000000001</v>
      </c>
      <c r="G103" s="12">
        <f t="shared" si="7"/>
        <v>0.0209979</v>
      </c>
    </row>
    <row r="104" spans="3:7" ht="15">
      <c r="C104" s="27" t="s">
        <v>401</v>
      </c>
      <c r="D104" s="27">
        <v>0.1</v>
      </c>
      <c r="E104" s="27" t="s">
        <v>284</v>
      </c>
      <c r="F104" s="12">
        <f>'LISTA DE PRODUCTOS'!G73</f>
        <v>0.0044</v>
      </c>
      <c r="G104" s="12">
        <f t="shared" si="7"/>
        <v>0.00044000000000000007</v>
      </c>
    </row>
    <row r="105" spans="3:7" ht="15">
      <c r="C105" s="27" t="s">
        <v>402</v>
      </c>
      <c r="D105" s="27">
        <v>0.05</v>
      </c>
      <c r="E105" s="27" t="s">
        <v>284</v>
      </c>
      <c r="F105" s="12">
        <f>'LISTA DE PRODUCTOS'!G76</f>
        <v>0.0022</v>
      </c>
      <c r="G105" s="12">
        <f t="shared" si="7"/>
        <v>0.00011000000000000002</v>
      </c>
    </row>
    <row r="106" spans="3:7" ht="15.75" thickBot="1">
      <c r="C106" s="2"/>
      <c r="D106" s="2"/>
      <c r="E106" s="2"/>
      <c r="F106" s="18"/>
      <c r="G106" s="18"/>
    </row>
    <row r="107" spans="3:7" ht="15.75" thickBot="1">
      <c r="C107" s="135" t="s">
        <v>92</v>
      </c>
      <c r="D107" s="38" t="s">
        <v>185</v>
      </c>
      <c r="E107" s="39"/>
      <c r="F107" s="39" t="s">
        <v>184</v>
      </c>
      <c r="G107" s="76">
        <f>SUM(G108:G113)</f>
        <v>0.09166666666666666</v>
      </c>
    </row>
    <row r="108" spans="3:7" ht="15">
      <c r="C108" s="41" t="s">
        <v>186</v>
      </c>
      <c r="D108" s="40"/>
      <c r="E108" s="40"/>
      <c r="F108" s="26"/>
      <c r="G108" s="12"/>
    </row>
    <row r="109" spans="3:7" ht="15">
      <c r="C109" s="25" t="s">
        <v>140</v>
      </c>
      <c r="D109" s="67">
        <f>'TIEMPO P.P.'!$F$9/'TIEMPO P.P.'!$H$3</f>
        <v>0.016</v>
      </c>
      <c r="E109" s="67"/>
      <c r="F109" s="26">
        <f>IF(DATOS!$I$9&gt;0,(DATOS!$C$4*'TIEMPO P.P.'!$I$3)/240,0)</f>
        <v>0</v>
      </c>
      <c r="G109" s="12">
        <f>D109*F109</f>
        <v>0</v>
      </c>
    </row>
    <row r="110" spans="3:7" ht="15">
      <c r="C110" s="25" t="s">
        <v>78</v>
      </c>
      <c r="D110" s="67">
        <f>'TIEMPO P.P.'!$F$20/'TIEMPO P.P.'!$H$3</f>
        <v>0.032888888888888884</v>
      </c>
      <c r="E110" s="67"/>
      <c r="F110" s="26">
        <f>IF(DATOS!$J$9&gt;0,DATOS!$C$5*'TIEMPO P.P.'!$I$14/240,0)</f>
        <v>0</v>
      </c>
      <c r="G110" s="12">
        <f>F110*D110</f>
        <v>0</v>
      </c>
    </row>
    <row r="111" spans="3:7" ht="15">
      <c r="C111" s="41" t="s">
        <v>187</v>
      </c>
      <c r="D111" s="42"/>
      <c r="E111" s="42"/>
      <c r="F111" s="26"/>
      <c r="G111" s="12"/>
    </row>
    <row r="112" spans="3:7" ht="15">
      <c r="C112" s="27" t="s">
        <v>140</v>
      </c>
      <c r="D112" s="68">
        <f>D109</f>
        <v>0.016</v>
      </c>
      <c r="E112" s="68"/>
      <c r="F112" s="12">
        <f>IF(DATOS!$I$14&gt;0,DATOS!$C$7*'TIEMPO P.P.'!$I$3/8,0)</f>
        <v>1.875</v>
      </c>
      <c r="G112" s="12">
        <f>D112*F112</f>
        <v>0.03</v>
      </c>
    </row>
    <row r="113" spans="3:7" ht="15.75" thickBot="1">
      <c r="C113" s="22" t="s">
        <v>78</v>
      </c>
      <c r="D113" s="71">
        <f>D110</f>
        <v>0.032888888888888884</v>
      </c>
      <c r="E113" s="71"/>
      <c r="F113" s="12">
        <f>IF(DATOS!$J$14&gt;0,DATOS!$C$8*'TIEMPO P.P.'!$I$14/8,0)</f>
        <v>1.875</v>
      </c>
      <c r="G113" s="12">
        <f>D113*F113</f>
        <v>0.06166666666666666</v>
      </c>
    </row>
    <row r="114" spans="3:7" ht="15.75" thickBot="1">
      <c r="C114" s="135" t="s">
        <v>93</v>
      </c>
      <c r="D114" s="38" t="s">
        <v>193</v>
      </c>
      <c r="E114" s="39"/>
      <c r="F114" s="39" t="s">
        <v>198</v>
      </c>
      <c r="G114" s="76">
        <f>SUM(G115:G117)</f>
        <v>0.10797182953042327</v>
      </c>
    </row>
    <row r="115" spans="3:7" ht="15">
      <c r="C115" s="25" t="s">
        <v>191</v>
      </c>
      <c r="D115" s="70">
        <f>('TIEMPO P.P.'!$E$9+'TIEMPO P.P.'!$E$20)/2</f>
        <v>0.09166666666666666</v>
      </c>
      <c r="E115" s="70"/>
      <c r="F115" s="26">
        <f>IF(DATOS!$F$51=0,DATOS!$F$20,DATOS!$F$51)</f>
        <v>1.1778745039682539</v>
      </c>
      <c r="G115" s="12">
        <f>D115*$F$20</f>
        <v>0.10797182953042327</v>
      </c>
    </row>
    <row r="116" spans="3:7" ht="15">
      <c r="C116" s="27" t="s">
        <v>192</v>
      </c>
      <c r="D116" s="69">
        <f>D115</f>
        <v>0.09166666666666666</v>
      </c>
      <c r="E116" s="69"/>
      <c r="F116" s="12">
        <f>DATOS!$F$65/ORDEN!$D$34</f>
        <v>0</v>
      </c>
      <c r="G116" s="12">
        <f>D116*$F$21</f>
        <v>0</v>
      </c>
    </row>
    <row r="117" spans="3:7" ht="15.75" thickBot="1">
      <c r="C117" s="27"/>
      <c r="D117" s="27"/>
      <c r="E117" s="27"/>
      <c r="F117" s="12"/>
      <c r="G117" s="12">
        <f aca="true" t="shared" si="8" ref="G117">D117*F117</f>
        <v>0</v>
      </c>
    </row>
    <row r="118" spans="3:7" ht="17.25" thickBot="1" thickTop="1">
      <c r="C118" s="28"/>
      <c r="D118" s="543" t="s">
        <v>94</v>
      </c>
      <c r="E118" s="544"/>
      <c r="F118" s="545"/>
      <c r="G118" s="20">
        <f>G101+G107+G114</f>
        <v>0.5212003961970899</v>
      </c>
    </row>
    <row r="119" ht="15.75" thickTop="1"/>
    <row r="121" spans="3:7" ht="19.5" thickBot="1">
      <c r="C121" s="546" t="str">
        <f>PLATOS!F13</f>
        <v>Gelatina</v>
      </c>
      <c r="D121" s="546"/>
      <c r="E121" s="546"/>
      <c r="F121" s="546"/>
      <c r="G121" s="546"/>
    </row>
    <row r="122" spans="4:7" ht="15.75" thickBot="1">
      <c r="D122" s="31" t="s">
        <v>96</v>
      </c>
      <c r="E122" s="31"/>
      <c r="F122" s="32" t="s">
        <v>95</v>
      </c>
      <c r="G122" s="30" t="s">
        <v>97</v>
      </c>
    </row>
    <row r="123" spans="3:7" ht="15.75" thickBot="1">
      <c r="C123" s="547" t="s">
        <v>91</v>
      </c>
      <c r="D123" s="548"/>
      <c r="E123" s="548"/>
      <c r="F123" s="549"/>
      <c r="G123" s="24">
        <f>SUM(G124:G130)</f>
        <v>54.6209919</v>
      </c>
    </row>
    <row r="124" spans="3:7" ht="15">
      <c r="C124" s="25" t="s">
        <v>403</v>
      </c>
      <c r="D124" s="25">
        <v>22.73</v>
      </c>
      <c r="E124" s="25" t="s">
        <v>284</v>
      </c>
      <c r="F124" s="26">
        <f>'LISTA DE PRODUCTOS'!G80</f>
        <v>0.0033000000000000004</v>
      </c>
      <c r="G124" s="12"/>
    </row>
    <row r="125" spans="3:7" ht="15">
      <c r="C125" s="27" t="s">
        <v>305</v>
      </c>
      <c r="D125" s="27">
        <v>27.27</v>
      </c>
      <c r="E125" s="27" t="s">
        <v>284</v>
      </c>
      <c r="F125" s="115">
        <f>'LISTA DE PRODUCTOS'!$G$72</f>
        <v>0.0007700000000000001</v>
      </c>
      <c r="G125" s="12">
        <f aca="true" t="shared" si="9" ref="G125:G129">D125*F125</f>
        <v>0.0209979</v>
      </c>
    </row>
    <row r="126" spans="3:7" ht="15">
      <c r="C126" s="27" t="s">
        <v>404</v>
      </c>
      <c r="D126" s="27">
        <v>9.09</v>
      </c>
      <c r="E126" s="27" t="s">
        <v>284</v>
      </c>
      <c r="F126" s="12">
        <f>'LISTA DE PRODUCTOS'!G84</f>
        <v>0.0022</v>
      </c>
      <c r="G126" s="12">
        <f t="shared" si="9"/>
        <v>0.019998000000000002</v>
      </c>
    </row>
    <row r="127" spans="3:7" ht="15">
      <c r="C127" s="27" t="s">
        <v>405</v>
      </c>
      <c r="D127" s="27">
        <v>9.09</v>
      </c>
      <c r="E127" s="27" t="s">
        <v>284</v>
      </c>
      <c r="F127" s="12">
        <f>'LISTA DE PRODUCTOS'!G78</f>
        <v>6</v>
      </c>
      <c r="G127" s="12">
        <f t="shared" si="9"/>
        <v>54.54</v>
      </c>
    </row>
    <row r="128" spans="3:7" ht="15">
      <c r="C128" s="27" t="s">
        <v>395</v>
      </c>
      <c r="D128" s="27">
        <v>9.09</v>
      </c>
      <c r="E128" s="27" t="s">
        <v>284</v>
      </c>
      <c r="F128" s="12">
        <f>'LISTA DE PRODUCTOS'!G94</f>
        <v>0.0022</v>
      </c>
      <c r="G128" s="12">
        <f t="shared" si="9"/>
        <v>0.019998000000000002</v>
      </c>
    </row>
    <row r="129" spans="3:7" ht="15">
      <c r="C129" s="27" t="s">
        <v>396</v>
      </c>
      <c r="D129" s="27">
        <v>9.09</v>
      </c>
      <c r="E129" s="27" t="s">
        <v>284</v>
      </c>
      <c r="F129" s="12">
        <f>'LISTA DE PRODUCTOS'!G79</f>
        <v>0.0022</v>
      </c>
      <c r="G129" s="12">
        <f t="shared" si="9"/>
        <v>0.019998000000000002</v>
      </c>
    </row>
    <row r="130" spans="3:7" ht="15">
      <c r="C130" s="27" t="s">
        <v>390</v>
      </c>
      <c r="D130" s="27">
        <v>9.09</v>
      </c>
      <c r="E130" s="27" t="s">
        <v>284</v>
      </c>
      <c r="F130" s="12">
        <f>'LISTA DE PRODUCTOS'!G77</f>
        <v>0.0016500000000000002</v>
      </c>
      <c r="G130" s="12"/>
    </row>
    <row r="131" spans="3:7" ht="15.75" thickBot="1">
      <c r="C131" s="2"/>
      <c r="D131" s="2"/>
      <c r="E131" s="2"/>
      <c r="F131" s="18"/>
      <c r="G131" s="18"/>
    </row>
    <row r="132" spans="3:7" ht="15.75" thickBot="1">
      <c r="C132" s="135" t="s">
        <v>92</v>
      </c>
      <c r="D132" s="38" t="s">
        <v>185</v>
      </c>
      <c r="E132" s="39"/>
      <c r="F132" s="39" t="s">
        <v>184</v>
      </c>
      <c r="G132" s="76">
        <f>SUM(G133:G138)</f>
        <v>0.09166666666666666</v>
      </c>
    </row>
    <row r="133" spans="3:7" ht="15">
      <c r="C133" s="41" t="s">
        <v>186</v>
      </c>
      <c r="D133" s="40"/>
      <c r="E133" s="40"/>
      <c r="F133" s="26"/>
      <c r="G133" s="12"/>
    </row>
    <row r="134" spans="3:7" ht="15">
      <c r="C134" s="25" t="s">
        <v>140</v>
      </c>
      <c r="D134" s="67">
        <f>'TIEMPO P.P.'!$F$9/'TIEMPO P.P.'!$H$3</f>
        <v>0.016</v>
      </c>
      <c r="E134" s="67"/>
      <c r="F134" s="26">
        <f>IF(DATOS!$I$9&gt;0,(DATOS!$C$4*'TIEMPO P.P.'!$I$3)/240,0)</f>
        <v>0</v>
      </c>
      <c r="G134" s="12">
        <f>D134*F134</f>
        <v>0</v>
      </c>
    </row>
    <row r="135" spans="3:7" ht="15">
      <c r="C135" s="25" t="s">
        <v>78</v>
      </c>
      <c r="D135" s="67">
        <f>'TIEMPO P.P.'!$F$20/'TIEMPO P.P.'!$H$3</f>
        <v>0.032888888888888884</v>
      </c>
      <c r="E135" s="67"/>
      <c r="F135" s="26">
        <f>IF(DATOS!$J$9&gt;0,DATOS!$C$5*'TIEMPO P.P.'!$I$14/240,0)</f>
        <v>0</v>
      </c>
      <c r="G135" s="12">
        <f>F135*D135</f>
        <v>0</v>
      </c>
    </row>
    <row r="136" spans="3:7" ht="15">
      <c r="C136" s="41" t="s">
        <v>187</v>
      </c>
      <c r="D136" s="42"/>
      <c r="E136" s="42"/>
      <c r="F136" s="26"/>
      <c r="G136" s="12"/>
    </row>
    <row r="137" spans="3:7" ht="15">
      <c r="C137" s="27" t="s">
        <v>140</v>
      </c>
      <c r="D137" s="68">
        <f>D134</f>
        <v>0.016</v>
      </c>
      <c r="E137" s="68"/>
      <c r="F137" s="12">
        <f>IF(DATOS!$I$14&gt;0,DATOS!$C$7*'TIEMPO P.P.'!$I$3/8,0)</f>
        <v>1.875</v>
      </c>
      <c r="G137" s="12">
        <f>D137*F137</f>
        <v>0.03</v>
      </c>
    </row>
    <row r="138" spans="3:7" ht="15.75" thickBot="1">
      <c r="C138" s="22" t="s">
        <v>78</v>
      </c>
      <c r="D138" s="71">
        <f>D135</f>
        <v>0.032888888888888884</v>
      </c>
      <c r="E138" s="71"/>
      <c r="F138" s="12">
        <f>IF(DATOS!$J$14&gt;0,DATOS!$C$8*'TIEMPO P.P.'!$I$14/8,0)</f>
        <v>1.875</v>
      </c>
      <c r="G138" s="12">
        <f>D138*F138</f>
        <v>0.06166666666666666</v>
      </c>
    </row>
    <row r="139" spans="3:7" ht="15.75" thickBot="1">
      <c r="C139" s="135" t="s">
        <v>93</v>
      </c>
      <c r="D139" s="38" t="s">
        <v>193</v>
      </c>
      <c r="E139" s="39"/>
      <c r="F139" s="39" t="s">
        <v>198</v>
      </c>
      <c r="G139" s="76">
        <f>SUM(G140:G142)</f>
        <v>0.10797182953042327</v>
      </c>
    </row>
    <row r="140" spans="3:7" ht="15">
      <c r="C140" s="25" t="s">
        <v>191</v>
      </c>
      <c r="D140" s="70">
        <f>('TIEMPO P.P.'!$E$9+'TIEMPO P.P.'!$E$20)/2</f>
        <v>0.09166666666666666</v>
      </c>
      <c r="E140" s="70"/>
      <c r="F140" s="26">
        <f>IF(DATOS!$F$51=0,DATOS!$F$20,DATOS!$F$51)</f>
        <v>1.1778745039682539</v>
      </c>
      <c r="G140" s="12">
        <f>D140*$F$20</f>
        <v>0.10797182953042327</v>
      </c>
    </row>
    <row r="141" spans="3:7" ht="15">
      <c r="C141" s="27" t="s">
        <v>192</v>
      </c>
      <c r="D141" s="69">
        <f>D140</f>
        <v>0.09166666666666666</v>
      </c>
      <c r="E141" s="69"/>
      <c r="F141" s="12">
        <f>DATOS!$F$65/ORDEN!$D$34</f>
        <v>0</v>
      </c>
      <c r="G141" s="12">
        <f>D141*$F$21</f>
        <v>0</v>
      </c>
    </row>
    <row r="142" spans="3:7" ht="15.75" thickBot="1">
      <c r="C142" s="27"/>
      <c r="D142" s="27"/>
      <c r="E142" s="27"/>
      <c r="F142" s="12"/>
      <c r="G142" s="12">
        <f aca="true" t="shared" si="10" ref="G142">D142*F142</f>
        <v>0</v>
      </c>
    </row>
    <row r="143" spans="3:7" ht="17.25" thickBot="1" thickTop="1">
      <c r="C143" s="28"/>
      <c r="D143" s="543" t="s">
        <v>94</v>
      </c>
      <c r="E143" s="544"/>
      <c r="F143" s="545"/>
      <c r="G143" s="20">
        <f>G123+G132+G139</f>
        <v>54.82063039619709</v>
      </c>
    </row>
    <row r="144" ht="15.75" thickTop="1"/>
    <row r="147" spans="3:7" ht="19.5" thickBot="1">
      <c r="C147" s="546" t="str">
        <f>PLATOS!F14</f>
        <v>Helados con torta</v>
      </c>
      <c r="D147" s="546"/>
      <c r="E147" s="546"/>
      <c r="F147" s="546"/>
      <c r="G147" s="546"/>
    </row>
    <row r="148" spans="4:7" ht="15.75" thickBot="1">
      <c r="D148" s="31" t="s">
        <v>96</v>
      </c>
      <c r="E148" s="31"/>
      <c r="F148" s="32" t="s">
        <v>95</v>
      </c>
      <c r="G148" s="30" t="s">
        <v>97</v>
      </c>
    </row>
    <row r="149" spans="3:7" ht="15.75" thickBot="1">
      <c r="C149" s="547" t="s">
        <v>91</v>
      </c>
      <c r="D149" s="548"/>
      <c r="E149" s="548"/>
      <c r="F149" s="549"/>
      <c r="G149" s="24">
        <f>SUM(G150:G153)</f>
        <v>0.38434023333333334</v>
      </c>
    </row>
    <row r="150" spans="3:7" ht="15">
      <c r="C150" s="27" t="s">
        <v>440</v>
      </c>
      <c r="D150" s="163">
        <v>0.06666666666666667</v>
      </c>
      <c r="E150" s="27" t="s">
        <v>283</v>
      </c>
      <c r="F150" s="12">
        <f>'LISTA DE PRODUCTOS'!G93</f>
        <v>3.5</v>
      </c>
      <c r="G150" s="164">
        <f aca="true" t="shared" si="11" ref="G150:G153">D150*F150</f>
        <v>0.23333333333333334</v>
      </c>
    </row>
    <row r="151" spans="3:7" ht="15">
      <c r="C151" s="27" t="s">
        <v>406</v>
      </c>
      <c r="D151" s="27">
        <v>45.46</v>
      </c>
      <c r="E151" s="27" t="s">
        <v>284</v>
      </c>
      <c r="F151" s="12">
        <f>'LISTA DE PRODUCTOS'!G85</f>
        <v>0.0022</v>
      </c>
      <c r="G151" s="12">
        <f t="shared" si="11"/>
        <v>0.100012</v>
      </c>
    </row>
    <row r="152" spans="3:7" ht="15">
      <c r="C152" s="27" t="s">
        <v>305</v>
      </c>
      <c r="D152" s="27">
        <v>27.27</v>
      </c>
      <c r="E152" s="27" t="s">
        <v>284</v>
      </c>
      <c r="F152" s="115">
        <f>'LISTA DE PRODUCTOS'!$G$72</f>
        <v>0.0007700000000000001</v>
      </c>
      <c r="G152" s="12">
        <f t="shared" si="11"/>
        <v>0.0209979</v>
      </c>
    </row>
    <row r="153" spans="3:7" ht="15">
      <c r="C153" s="27" t="s">
        <v>390</v>
      </c>
      <c r="D153" s="27">
        <v>18.18</v>
      </c>
      <c r="E153" s="27" t="s">
        <v>284</v>
      </c>
      <c r="F153" s="12">
        <f>'LISTA DE PRODUCTOS'!G77</f>
        <v>0.0016500000000000002</v>
      </c>
      <c r="G153" s="12">
        <f t="shared" si="11"/>
        <v>0.029997000000000003</v>
      </c>
    </row>
    <row r="154" spans="3:7" ht="15.75" thickBot="1">
      <c r="C154" s="2"/>
      <c r="D154" s="2"/>
      <c r="E154" s="2"/>
      <c r="F154" s="18"/>
      <c r="G154" s="18"/>
    </row>
    <row r="155" spans="3:7" ht="15.75" thickBot="1">
      <c r="C155" s="135" t="s">
        <v>92</v>
      </c>
      <c r="D155" s="38" t="s">
        <v>185</v>
      </c>
      <c r="E155" s="39"/>
      <c r="F155" s="39" t="s">
        <v>184</v>
      </c>
      <c r="G155" s="76">
        <f>SUM(G156:G161)</f>
        <v>0.09166666666666666</v>
      </c>
    </row>
    <row r="156" spans="3:7" ht="15">
      <c r="C156" s="41" t="s">
        <v>186</v>
      </c>
      <c r="D156" s="40"/>
      <c r="E156" s="40"/>
      <c r="F156" s="26"/>
      <c r="G156" s="12"/>
    </row>
    <row r="157" spans="3:7" ht="15">
      <c r="C157" s="25" t="s">
        <v>140</v>
      </c>
      <c r="D157" s="67">
        <f>'TIEMPO P.P.'!$F$9/'TIEMPO P.P.'!$H$3</f>
        <v>0.016</v>
      </c>
      <c r="E157" s="67"/>
      <c r="F157" s="26">
        <f>IF(DATOS!$I$9&gt;0,(DATOS!$C$4*'TIEMPO P.P.'!$I$3)/240,0)</f>
        <v>0</v>
      </c>
      <c r="G157" s="12">
        <f>D157*F157</f>
        <v>0</v>
      </c>
    </row>
    <row r="158" spans="3:7" ht="15">
      <c r="C158" s="25" t="s">
        <v>78</v>
      </c>
      <c r="D158" s="67">
        <f>'TIEMPO P.P.'!$F$20/'TIEMPO P.P.'!$H$3</f>
        <v>0.032888888888888884</v>
      </c>
      <c r="E158" s="67"/>
      <c r="F158" s="26">
        <f>IF(DATOS!$J$9&gt;0,DATOS!$C$5*'TIEMPO P.P.'!$I$14/240,0)</f>
        <v>0</v>
      </c>
      <c r="G158" s="12">
        <f>F158*D158</f>
        <v>0</v>
      </c>
    </row>
    <row r="159" spans="3:7" ht="15">
      <c r="C159" s="41" t="s">
        <v>187</v>
      </c>
      <c r="D159" s="42"/>
      <c r="E159" s="42"/>
      <c r="F159" s="26"/>
      <c r="G159" s="12"/>
    </row>
    <row r="160" spans="3:7" ht="15">
      <c r="C160" s="27" t="s">
        <v>140</v>
      </c>
      <c r="D160" s="68">
        <f>D157</f>
        <v>0.016</v>
      </c>
      <c r="E160" s="68"/>
      <c r="F160" s="12">
        <f>IF(DATOS!$I$14&gt;0,DATOS!$C$7*'TIEMPO P.P.'!$I$3/8,0)</f>
        <v>1.875</v>
      </c>
      <c r="G160" s="12">
        <f>D160*F160</f>
        <v>0.03</v>
      </c>
    </row>
    <row r="161" spans="3:7" ht="15.75" thickBot="1">
      <c r="C161" s="22" t="s">
        <v>78</v>
      </c>
      <c r="D161" s="71">
        <f>D158</f>
        <v>0.032888888888888884</v>
      </c>
      <c r="E161" s="71"/>
      <c r="F161" s="12">
        <f>IF(DATOS!$J$14&gt;0,DATOS!$C$8*'TIEMPO P.P.'!$I$14/8,0)</f>
        <v>1.875</v>
      </c>
      <c r="G161" s="12">
        <f>D161*F161</f>
        <v>0.06166666666666666</v>
      </c>
    </row>
    <row r="162" spans="3:7" ht="15.75" thickBot="1">
      <c r="C162" s="135" t="s">
        <v>93</v>
      </c>
      <c r="D162" s="38" t="s">
        <v>193</v>
      </c>
      <c r="E162" s="39"/>
      <c r="F162" s="39" t="s">
        <v>198</v>
      </c>
      <c r="G162" s="76">
        <f>SUM(G163:G165)</f>
        <v>0.10797182953042327</v>
      </c>
    </row>
    <row r="163" spans="3:7" ht="15">
      <c r="C163" s="25" t="s">
        <v>191</v>
      </c>
      <c r="D163" s="70">
        <f>('TIEMPO P.P.'!$E$9+'TIEMPO P.P.'!$E$20)/2</f>
        <v>0.09166666666666666</v>
      </c>
      <c r="E163" s="70"/>
      <c r="F163" s="26">
        <f>IF(DATOS!$F$51=0,DATOS!$F$20,DATOS!$F$51)</f>
        <v>1.1778745039682539</v>
      </c>
      <c r="G163" s="12">
        <f>D163*$F$20</f>
        <v>0.10797182953042327</v>
      </c>
    </row>
    <row r="164" spans="3:7" ht="15">
      <c r="C164" s="27" t="s">
        <v>192</v>
      </c>
      <c r="D164" s="69">
        <f>D163</f>
        <v>0.09166666666666666</v>
      </c>
      <c r="E164" s="69"/>
      <c r="F164" s="12">
        <f>DATOS!$F$65/ORDEN!$D$34</f>
        <v>0</v>
      </c>
      <c r="G164" s="12">
        <f>D164*$F$21</f>
        <v>0</v>
      </c>
    </row>
    <row r="165" spans="3:7" ht="15.75" thickBot="1">
      <c r="C165" s="27"/>
      <c r="D165" s="27"/>
      <c r="E165" s="27"/>
      <c r="F165" s="12"/>
      <c r="G165" s="12">
        <f aca="true" t="shared" si="12" ref="G165">D165*F165</f>
        <v>0</v>
      </c>
    </row>
    <row r="166" spans="3:7" ht="17.25" thickBot="1" thickTop="1">
      <c r="C166" s="28"/>
      <c r="D166" s="543" t="s">
        <v>94</v>
      </c>
      <c r="E166" s="544"/>
      <c r="F166" s="545"/>
      <c r="G166" s="20">
        <f>G149+G155+G162</f>
        <v>0.5839787295304233</v>
      </c>
    </row>
    <row r="167" ht="15.75" thickTop="1"/>
    <row r="169" spans="3:7" ht="19.5" thickBot="1">
      <c r="C169" s="546" t="str">
        <f>PLATOS!F15</f>
        <v>COSTO-POSTRE'!C155</v>
      </c>
      <c r="D169" s="546"/>
      <c r="E169" s="546"/>
      <c r="F169" s="546"/>
      <c r="G169" s="546"/>
    </row>
    <row r="170" spans="4:7" ht="15.75" thickBot="1">
      <c r="D170" s="31" t="s">
        <v>96</v>
      </c>
      <c r="E170" s="31"/>
      <c r="F170" s="32" t="s">
        <v>95</v>
      </c>
      <c r="G170" s="30" t="s">
        <v>97</v>
      </c>
    </row>
    <row r="171" spans="3:7" ht="15.75" thickBot="1">
      <c r="C171" s="547" t="s">
        <v>91</v>
      </c>
      <c r="D171" s="548"/>
      <c r="E171" s="548"/>
      <c r="F171" s="549"/>
      <c r="G171" s="24">
        <f>SUM(G172:G178)</f>
        <v>0</v>
      </c>
    </row>
    <row r="172" spans="3:7" ht="15">
      <c r="C172" s="25"/>
      <c r="D172" s="25"/>
      <c r="E172" s="25"/>
      <c r="F172" s="26"/>
      <c r="G172" s="12">
        <f>D172*F172</f>
        <v>0</v>
      </c>
    </row>
    <row r="173" spans="3:7" ht="15">
      <c r="C173" s="27"/>
      <c r="D173" s="27"/>
      <c r="E173" s="27"/>
      <c r="F173" s="12"/>
      <c r="G173" s="12">
        <f aca="true" t="shared" si="13" ref="G173:G178">D173*F173</f>
        <v>0</v>
      </c>
    </row>
    <row r="174" spans="3:7" ht="15">
      <c r="C174" s="27"/>
      <c r="D174" s="27"/>
      <c r="E174" s="27"/>
      <c r="F174" s="12"/>
      <c r="G174" s="12">
        <f t="shared" si="13"/>
        <v>0</v>
      </c>
    </row>
    <row r="175" spans="3:7" ht="15">
      <c r="C175" s="27"/>
      <c r="D175" s="27"/>
      <c r="E175" s="27"/>
      <c r="F175" s="12"/>
      <c r="G175" s="12">
        <f t="shared" si="13"/>
        <v>0</v>
      </c>
    </row>
    <row r="176" spans="3:7" ht="15">
      <c r="C176" s="27"/>
      <c r="D176" s="27"/>
      <c r="E176" s="27"/>
      <c r="F176" s="12"/>
      <c r="G176" s="12">
        <f t="shared" si="13"/>
        <v>0</v>
      </c>
    </row>
    <row r="177" spans="3:7" ht="15">
      <c r="C177" s="27"/>
      <c r="D177" s="27"/>
      <c r="E177" s="27"/>
      <c r="F177" s="12"/>
      <c r="G177" s="12">
        <f t="shared" si="13"/>
        <v>0</v>
      </c>
    </row>
    <row r="178" spans="3:7" ht="15.75" thickBot="1">
      <c r="C178" s="22"/>
      <c r="D178" s="22"/>
      <c r="E178" s="22"/>
      <c r="F178" s="23"/>
      <c r="G178" s="12">
        <f t="shared" si="13"/>
        <v>0</v>
      </c>
    </row>
    <row r="179" spans="3:7" ht="15.75" thickBot="1">
      <c r="C179" s="135" t="s">
        <v>92</v>
      </c>
      <c r="D179" s="38" t="s">
        <v>185</v>
      </c>
      <c r="E179" s="39"/>
      <c r="F179" s="39" t="s">
        <v>184</v>
      </c>
      <c r="G179" s="76">
        <f>SUM(G180:G185)</f>
        <v>0.09166666666666666</v>
      </c>
    </row>
    <row r="180" spans="3:7" ht="15">
      <c r="C180" s="41" t="s">
        <v>186</v>
      </c>
      <c r="D180" s="40"/>
      <c r="E180" s="40"/>
      <c r="F180" s="26"/>
      <c r="G180" s="12"/>
    </row>
    <row r="181" spans="3:7" ht="15">
      <c r="C181" s="25" t="s">
        <v>140</v>
      </c>
      <c r="D181" s="67">
        <f>'TIEMPO P.P.'!$F$9/'TIEMPO P.P.'!$H$3</f>
        <v>0.016</v>
      </c>
      <c r="E181" s="67"/>
      <c r="F181" s="26">
        <f>IF(DATOS!$I$9&gt;0,(DATOS!$C$4*'TIEMPO P.P.'!$I$3)/240,0)</f>
        <v>0</v>
      </c>
      <c r="G181" s="12">
        <f>D181*F181</f>
        <v>0</v>
      </c>
    </row>
    <row r="182" spans="3:7" ht="15">
      <c r="C182" s="25" t="s">
        <v>78</v>
      </c>
      <c r="D182" s="67">
        <f>'TIEMPO P.P.'!$F$20/'TIEMPO P.P.'!$H$3</f>
        <v>0.032888888888888884</v>
      </c>
      <c r="E182" s="67"/>
      <c r="F182" s="26">
        <f>IF(DATOS!$J$9&gt;0,DATOS!$C$5*'TIEMPO P.P.'!$I$14/240,0)</f>
        <v>0</v>
      </c>
      <c r="G182" s="12">
        <f>F182*D182</f>
        <v>0</v>
      </c>
    </row>
    <row r="183" spans="3:7" ht="15">
      <c r="C183" s="41" t="s">
        <v>187</v>
      </c>
      <c r="D183" s="42"/>
      <c r="E183" s="42"/>
      <c r="F183" s="26"/>
      <c r="G183" s="12"/>
    </row>
    <row r="184" spans="3:7" ht="15">
      <c r="C184" s="27" t="s">
        <v>140</v>
      </c>
      <c r="D184" s="68">
        <f>D181</f>
        <v>0.016</v>
      </c>
      <c r="E184" s="68"/>
      <c r="F184" s="12">
        <f>IF(DATOS!$I$14&gt;0,DATOS!$C$7*'TIEMPO P.P.'!$I$3/8,0)</f>
        <v>1.875</v>
      </c>
      <c r="G184" s="12">
        <f>D184*F184</f>
        <v>0.03</v>
      </c>
    </row>
    <row r="185" spans="3:7" ht="15.75" thickBot="1">
      <c r="C185" s="22" t="s">
        <v>78</v>
      </c>
      <c r="D185" s="71">
        <f>D182</f>
        <v>0.032888888888888884</v>
      </c>
      <c r="E185" s="71"/>
      <c r="F185" s="12">
        <f>IF(DATOS!$J$14&gt;0,DATOS!$C$8*'TIEMPO P.P.'!$I$14/8,0)</f>
        <v>1.875</v>
      </c>
      <c r="G185" s="12">
        <f>D185*F185</f>
        <v>0.06166666666666666</v>
      </c>
    </row>
    <row r="186" spans="3:7" ht="15.75" thickBot="1">
      <c r="C186" s="135" t="s">
        <v>93</v>
      </c>
      <c r="D186" s="38" t="s">
        <v>193</v>
      </c>
      <c r="E186" s="39"/>
      <c r="F186" s="39" t="s">
        <v>198</v>
      </c>
      <c r="G186" s="76">
        <f>SUM(G187:G189)</f>
        <v>0.10797182953042327</v>
      </c>
    </row>
    <row r="187" spans="3:7" ht="15">
      <c r="C187" s="25" t="s">
        <v>191</v>
      </c>
      <c r="D187" s="70">
        <f>('TIEMPO P.P.'!$E$9+'TIEMPO P.P.'!$E$20)/2</f>
        <v>0.09166666666666666</v>
      </c>
      <c r="E187" s="70"/>
      <c r="F187" s="26">
        <f>IF(DATOS!$F$51=0,DATOS!$F$20,DATOS!$F$51)</f>
        <v>1.1778745039682539</v>
      </c>
      <c r="G187" s="12">
        <f>D187*$F$20</f>
        <v>0.10797182953042327</v>
      </c>
    </row>
    <row r="188" spans="3:7" ht="15">
      <c r="C188" s="27" t="s">
        <v>192</v>
      </c>
      <c r="D188" s="69">
        <f>D187</f>
        <v>0.09166666666666666</v>
      </c>
      <c r="E188" s="69"/>
      <c r="F188" s="12">
        <f>DATOS!$F$65/ORDEN!$D$34</f>
        <v>0</v>
      </c>
      <c r="G188" s="12">
        <f>D188*$F$21</f>
        <v>0</v>
      </c>
    </row>
    <row r="189" spans="3:7" ht="15.75" thickBot="1">
      <c r="C189" s="27"/>
      <c r="D189" s="27"/>
      <c r="E189" s="27"/>
      <c r="F189" s="12"/>
      <c r="G189" s="12">
        <f aca="true" t="shared" si="14" ref="G189">D189*F189</f>
        <v>0</v>
      </c>
    </row>
    <row r="190" spans="3:7" ht="17.25" thickBot="1" thickTop="1">
      <c r="C190" s="28"/>
      <c r="D190" s="543" t="s">
        <v>94</v>
      </c>
      <c r="E190" s="544"/>
      <c r="F190" s="545"/>
      <c r="G190" s="20">
        <f>G171+G179+G186</f>
        <v>0.19963849619708993</v>
      </c>
    </row>
    <row r="191" ht="15.75" thickTop="1"/>
    <row r="194" spans="3:7" ht="19.5" thickBot="1">
      <c r="C194" s="546" t="str">
        <f>PLATOS!F16</f>
        <v>COSTO-POSTRE'!C177</v>
      </c>
      <c r="D194" s="546"/>
      <c r="E194" s="546"/>
      <c r="F194" s="546"/>
      <c r="G194" s="546"/>
    </row>
    <row r="195" spans="4:7" ht="15.75" thickBot="1">
      <c r="D195" s="31" t="s">
        <v>96</v>
      </c>
      <c r="E195" s="31"/>
      <c r="F195" s="32" t="s">
        <v>95</v>
      </c>
      <c r="G195" s="30" t="s">
        <v>97</v>
      </c>
    </row>
    <row r="196" spans="3:7" ht="15.75" thickBot="1">
      <c r="C196" s="547" t="s">
        <v>91</v>
      </c>
      <c r="D196" s="548"/>
      <c r="E196" s="548"/>
      <c r="F196" s="549"/>
      <c r="G196" s="24">
        <f>SUM(G197:G203)</f>
        <v>0</v>
      </c>
    </row>
    <row r="197" spans="3:7" ht="15">
      <c r="C197" s="25"/>
      <c r="D197" s="25"/>
      <c r="E197" s="25"/>
      <c r="F197" s="26"/>
      <c r="G197" s="12">
        <f>D197*F197</f>
        <v>0</v>
      </c>
    </row>
    <row r="198" spans="3:7" ht="15">
      <c r="C198" s="27"/>
      <c r="D198" s="27"/>
      <c r="E198" s="27"/>
      <c r="F198" s="12"/>
      <c r="G198" s="12">
        <f aca="true" t="shared" si="15" ref="G198:G203">D198*F198</f>
        <v>0</v>
      </c>
    </row>
    <row r="199" spans="3:7" ht="15">
      <c r="C199" s="27"/>
      <c r="D199" s="27"/>
      <c r="E199" s="27"/>
      <c r="F199" s="12"/>
      <c r="G199" s="12">
        <f t="shared" si="15"/>
        <v>0</v>
      </c>
    </row>
    <row r="200" spans="3:7" ht="15">
      <c r="C200" s="27"/>
      <c r="D200" s="27"/>
      <c r="E200" s="27"/>
      <c r="F200" s="12"/>
      <c r="G200" s="12">
        <f t="shared" si="15"/>
        <v>0</v>
      </c>
    </row>
    <row r="201" spans="3:7" ht="15">
      <c r="C201" s="27"/>
      <c r="D201" s="27"/>
      <c r="E201" s="27"/>
      <c r="F201" s="12"/>
      <c r="G201" s="12">
        <f t="shared" si="15"/>
        <v>0</v>
      </c>
    </row>
    <row r="202" spans="3:7" ht="15">
      <c r="C202" s="27"/>
      <c r="D202" s="27"/>
      <c r="E202" s="27"/>
      <c r="F202" s="12"/>
      <c r="G202" s="12">
        <f t="shared" si="15"/>
        <v>0</v>
      </c>
    </row>
    <row r="203" spans="3:7" ht="15.75" thickBot="1">
      <c r="C203" s="22"/>
      <c r="D203" s="22"/>
      <c r="E203" s="22"/>
      <c r="F203" s="23"/>
      <c r="G203" s="12">
        <f t="shared" si="15"/>
        <v>0</v>
      </c>
    </row>
    <row r="204" spans="3:7" ht="15.75" thickBot="1">
      <c r="C204" s="135" t="s">
        <v>92</v>
      </c>
      <c r="D204" s="38" t="s">
        <v>185</v>
      </c>
      <c r="E204" s="39"/>
      <c r="F204" s="39" t="s">
        <v>184</v>
      </c>
      <c r="G204" s="76">
        <f>SUM(G205:G210)</f>
        <v>0.09166666666666666</v>
      </c>
    </row>
    <row r="205" spans="3:7" ht="15">
      <c r="C205" s="41" t="s">
        <v>186</v>
      </c>
      <c r="D205" s="40"/>
      <c r="E205" s="40"/>
      <c r="F205" s="26"/>
      <c r="G205" s="12"/>
    </row>
    <row r="206" spans="3:7" ht="15">
      <c r="C206" s="25" t="s">
        <v>140</v>
      </c>
      <c r="D206" s="67">
        <f>'TIEMPO P.P.'!$F$9/'TIEMPO P.P.'!$H$3</f>
        <v>0.016</v>
      </c>
      <c r="E206" s="67"/>
      <c r="F206" s="26">
        <f>IF(DATOS!$I$9&gt;0,(DATOS!$C$4*'TIEMPO P.P.'!$I$3)/240,0)</f>
        <v>0</v>
      </c>
      <c r="G206" s="12">
        <f>D206*F206</f>
        <v>0</v>
      </c>
    </row>
    <row r="207" spans="3:7" ht="15">
      <c r="C207" s="25" t="s">
        <v>78</v>
      </c>
      <c r="D207" s="67">
        <f>'TIEMPO P.P.'!$F$20/'TIEMPO P.P.'!$H$3</f>
        <v>0.032888888888888884</v>
      </c>
      <c r="E207" s="67"/>
      <c r="F207" s="26">
        <f>IF(DATOS!$J$9&gt;0,DATOS!$C$5*'TIEMPO P.P.'!$I$14/240,0)</f>
        <v>0</v>
      </c>
      <c r="G207" s="12">
        <f>F207*D207</f>
        <v>0</v>
      </c>
    </row>
    <row r="208" spans="3:7" ht="15">
      <c r="C208" s="41" t="s">
        <v>187</v>
      </c>
      <c r="D208" s="42"/>
      <c r="E208" s="42"/>
      <c r="F208" s="26"/>
      <c r="G208" s="12"/>
    </row>
    <row r="209" spans="3:7" ht="15">
      <c r="C209" s="27" t="s">
        <v>140</v>
      </c>
      <c r="D209" s="68">
        <f>D206</f>
        <v>0.016</v>
      </c>
      <c r="E209" s="68"/>
      <c r="F209" s="12">
        <f>IF(DATOS!$I$14&gt;0,DATOS!$C$7*'TIEMPO P.P.'!$I$3/8,0)</f>
        <v>1.875</v>
      </c>
      <c r="G209" s="12">
        <f>D209*F209</f>
        <v>0.03</v>
      </c>
    </row>
    <row r="210" spans="3:7" ht="15.75" thickBot="1">
      <c r="C210" s="22" t="s">
        <v>78</v>
      </c>
      <c r="D210" s="71">
        <f>D207</f>
        <v>0.032888888888888884</v>
      </c>
      <c r="E210" s="71"/>
      <c r="F210" s="12">
        <f>IF(DATOS!$J$14&gt;0,DATOS!$C$8*'TIEMPO P.P.'!$I$14/8,0)</f>
        <v>1.875</v>
      </c>
      <c r="G210" s="12">
        <f>D210*F210</f>
        <v>0.06166666666666666</v>
      </c>
    </row>
    <row r="211" spans="3:7" ht="15.75" thickBot="1">
      <c r="C211" s="135" t="s">
        <v>93</v>
      </c>
      <c r="D211" s="38" t="s">
        <v>193</v>
      </c>
      <c r="E211" s="39"/>
      <c r="F211" s="39" t="s">
        <v>198</v>
      </c>
      <c r="G211" s="76">
        <f>SUM(G212:G214)</f>
        <v>0.10797182953042327</v>
      </c>
    </row>
    <row r="212" spans="3:7" ht="15">
      <c r="C212" s="25" t="s">
        <v>191</v>
      </c>
      <c r="D212" s="70">
        <f>('TIEMPO P.P.'!$E$9+'TIEMPO P.P.'!$E$20)/2</f>
        <v>0.09166666666666666</v>
      </c>
      <c r="E212" s="70"/>
      <c r="F212" s="26">
        <f>IF(DATOS!$F$51=0,DATOS!$F$20,DATOS!$F$51)</f>
        <v>1.1778745039682539</v>
      </c>
      <c r="G212" s="12">
        <f>D212*$F$20</f>
        <v>0.10797182953042327</v>
      </c>
    </row>
    <row r="213" spans="3:7" ht="15">
      <c r="C213" s="27" t="s">
        <v>192</v>
      </c>
      <c r="D213" s="69">
        <f>D212</f>
        <v>0.09166666666666666</v>
      </c>
      <c r="E213" s="69"/>
      <c r="F213" s="12">
        <f>DATOS!$F$65/ORDEN!$D$34</f>
        <v>0</v>
      </c>
      <c r="G213" s="12">
        <f>D213*$F$21</f>
        <v>0</v>
      </c>
    </row>
    <row r="214" spans="3:7" ht="15.75" thickBot="1">
      <c r="C214" s="27"/>
      <c r="D214" s="27"/>
      <c r="E214" s="27"/>
      <c r="F214" s="12"/>
      <c r="G214" s="12">
        <f aca="true" t="shared" si="16" ref="G214">D214*F214</f>
        <v>0</v>
      </c>
    </row>
    <row r="215" spans="3:7" ht="17.25" thickBot="1" thickTop="1">
      <c r="C215" s="28"/>
      <c r="D215" s="543" t="s">
        <v>94</v>
      </c>
      <c r="E215" s="544"/>
      <c r="F215" s="545"/>
      <c r="G215" s="20">
        <f>G196+G204+G211</f>
        <v>0.19963849619708993</v>
      </c>
    </row>
    <row r="216" ht="15.75" thickTop="1"/>
    <row r="218" spans="3:7" ht="19.5" thickBot="1">
      <c r="C218" s="546" t="str">
        <f>PLATOS!F17</f>
        <v>COSTO-POSTRE'!C198</v>
      </c>
      <c r="D218" s="546"/>
      <c r="E218" s="546"/>
      <c r="F218" s="546"/>
      <c r="G218" s="546"/>
    </row>
    <row r="219" spans="4:7" ht="15.75" thickBot="1">
      <c r="D219" s="31" t="s">
        <v>96</v>
      </c>
      <c r="E219" s="31"/>
      <c r="F219" s="32" t="s">
        <v>95</v>
      </c>
      <c r="G219" s="30" t="s">
        <v>97</v>
      </c>
    </row>
    <row r="220" spans="3:7" ht="15.75" thickBot="1">
      <c r="C220" s="547" t="s">
        <v>91</v>
      </c>
      <c r="D220" s="548"/>
      <c r="E220" s="548"/>
      <c r="F220" s="549"/>
      <c r="G220" s="24">
        <f>SUM(G221:G227)</f>
        <v>0</v>
      </c>
    </row>
    <row r="221" spans="3:7" ht="15">
      <c r="C221" s="25"/>
      <c r="D221" s="25"/>
      <c r="E221" s="25"/>
      <c r="F221" s="26"/>
      <c r="G221" s="12">
        <f>D221*F221</f>
        <v>0</v>
      </c>
    </row>
    <row r="222" spans="3:7" ht="15">
      <c r="C222" s="27"/>
      <c r="D222" s="27"/>
      <c r="E222" s="27"/>
      <c r="F222" s="12"/>
      <c r="G222" s="12">
        <f aca="true" t="shared" si="17" ref="G222:G227">D222*F222</f>
        <v>0</v>
      </c>
    </row>
    <row r="223" spans="3:7" ht="15">
      <c r="C223" s="27"/>
      <c r="D223" s="27"/>
      <c r="E223" s="27"/>
      <c r="F223" s="12"/>
      <c r="G223" s="12">
        <f t="shared" si="17"/>
        <v>0</v>
      </c>
    </row>
    <row r="224" spans="3:7" ht="15">
      <c r="C224" s="27"/>
      <c r="D224" s="27"/>
      <c r="E224" s="27"/>
      <c r="F224" s="12"/>
      <c r="G224" s="12">
        <f t="shared" si="17"/>
        <v>0</v>
      </c>
    </row>
    <row r="225" spans="3:7" ht="15">
      <c r="C225" s="27"/>
      <c r="D225" s="27"/>
      <c r="E225" s="27"/>
      <c r="F225" s="12"/>
      <c r="G225" s="12">
        <f t="shared" si="17"/>
        <v>0</v>
      </c>
    </row>
    <row r="226" spans="3:7" ht="15">
      <c r="C226" s="27"/>
      <c r="D226" s="27"/>
      <c r="E226" s="27"/>
      <c r="F226" s="12"/>
      <c r="G226" s="12">
        <f t="shared" si="17"/>
        <v>0</v>
      </c>
    </row>
    <row r="227" spans="3:7" ht="15.75" thickBot="1">
      <c r="C227" s="22"/>
      <c r="D227" s="22"/>
      <c r="E227" s="22"/>
      <c r="F227" s="23"/>
      <c r="G227" s="12">
        <f t="shared" si="17"/>
        <v>0</v>
      </c>
    </row>
    <row r="228" spans="3:7" ht="15.75" thickBot="1">
      <c r="C228" s="135" t="s">
        <v>92</v>
      </c>
      <c r="D228" s="38" t="s">
        <v>185</v>
      </c>
      <c r="E228" s="39"/>
      <c r="F228" s="39" t="s">
        <v>184</v>
      </c>
      <c r="G228" s="76">
        <f>SUM(G229:G234)</f>
        <v>0.09166666666666666</v>
      </c>
    </row>
    <row r="229" spans="3:7" ht="15">
      <c r="C229" s="41" t="s">
        <v>186</v>
      </c>
      <c r="D229" s="40"/>
      <c r="E229" s="40"/>
      <c r="F229" s="26"/>
      <c r="G229" s="12"/>
    </row>
    <row r="230" spans="3:7" ht="15">
      <c r="C230" s="25" t="s">
        <v>140</v>
      </c>
      <c r="D230" s="67">
        <f>'TIEMPO P.P.'!$F$9/'TIEMPO P.P.'!$H$3</f>
        <v>0.016</v>
      </c>
      <c r="E230" s="67"/>
      <c r="F230" s="26">
        <f>IF(DATOS!$I$9&gt;0,(DATOS!$C$4*'TIEMPO P.P.'!$I$3)/240,0)</f>
        <v>0</v>
      </c>
      <c r="G230" s="12">
        <f>D230*F230</f>
        <v>0</v>
      </c>
    </row>
    <row r="231" spans="3:7" ht="15">
      <c r="C231" s="25" t="s">
        <v>78</v>
      </c>
      <c r="D231" s="67">
        <f>'TIEMPO P.P.'!$F$20/'TIEMPO P.P.'!$H$3</f>
        <v>0.032888888888888884</v>
      </c>
      <c r="E231" s="67"/>
      <c r="F231" s="26">
        <f>IF(DATOS!$J$9&gt;0,DATOS!$C$5*'TIEMPO P.P.'!$I$14/240,0)</f>
        <v>0</v>
      </c>
      <c r="G231" s="12">
        <f>F231*D231</f>
        <v>0</v>
      </c>
    </row>
    <row r="232" spans="3:7" ht="15">
      <c r="C232" s="41" t="s">
        <v>187</v>
      </c>
      <c r="D232" s="42"/>
      <c r="E232" s="42"/>
      <c r="F232" s="26"/>
      <c r="G232" s="12"/>
    </row>
    <row r="233" spans="3:7" ht="15">
      <c r="C233" s="27" t="s">
        <v>140</v>
      </c>
      <c r="D233" s="68">
        <f>D230</f>
        <v>0.016</v>
      </c>
      <c r="E233" s="68"/>
      <c r="F233" s="12">
        <f>IF(DATOS!$I$14&gt;0,DATOS!$C$7*'TIEMPO P.P.'!$I$3/8,0)</f>
        <v>1.875</v>
      </c>
      <c r="G233" s="12">
        <f>D233*F233</f>
        <v>0.03</v>
      </c>
    </row>
    <row r="234" spans="3:7" ht="15.75" thickBot="1">
      <c r="C234" s="22" t="s">
        <v>78</v>
      </c>
      <c r="D234" s="71">
        <f>D231</f>
        <v>0.032888888888888884</v>
      </c>
      <c r="E234" s="71"/>
      <c r="F234" s="12">
        <f>IF(DATOS!$J$14&gt;0,DATOS!$C$8*'TIEMPO P.P.'!$I$14/8,0)</f>
        <v>1.875</v>
      </c>
      <c r="G234" s="12">
        <f>D234*F234</f>
        <v>0.06166666666666666</v>
      </c>
    </row>
    <row r="235" spans="3:7" ht="15.75" thickBot="1">
      <c r="C235" s="135" t="s">
        <v>93</v>
      </c>
      <c r="D235" s="38" t="s">
        <v>193</v>
      </c>
      <c r="E235" s="39"/>
      <c r="F235" s="39" t="s">
        <v>198</v>
      </c>
      <c r="G235" s="76">
        <f>SUM(G236:G238)</f>
        <v>0.10797182953042327</v>
      </c>
    </row>
    <row r="236" spans="3:7" ht="15">
      <c r="C236" s="25" t="s">
        <v>191</v>
      </c>
      <c r="D236" s="70">
        <f>('TIEMPO P.P.'!$E$9+'TIEMPO P.P.'!$E$20)/2</f>
        <v>0.09166666666666666</v>
      </c>
      <c r="E236" s="70"/>
      <c r="F236" s="26">
        <f>IF(DATOS!$F$51=0,DATOS!$F$20,DATOS!$F$51)</f>
        <v>1.1778745039682539</v>
      </c>
      <c r="G236" s="12">
        <f>D236*$F$20</f>
        <v>0.10797182953042327</v>
      </c>
    </row>
    <row r="237" spans="3:7" ht="15">
      <c r="C237" s="27" t="s">
        <v>192</v>
      </c>
      <c r="D237" s="69">
        <f>D236</f>
        <v>0.09166666666666666</v>
      </c>
      <c r="E237" s="69"/>
      <c r="F237" s="12">
        <f>DATOS!$F$65/ORDEN!$D$34</f>
        <v>0</v>
      </c>
      <c r="G237" s="12">
        <f>D237*$F$21</f>
        <v>0</v>
      </c>
    </row>
    <row r="238" spans="3:7" ht="15.75" thickBot="1">
      <c r="C238" s="27"/>
      <c r="D238" s="27"/>
      <c r="E238" s="27"/>
      <c r="F238" s="12"/>
      <c r="G238" s="12">
        <f aca="true" t="shared" si="18" ref="G238">D238*F238</f>
        <v>0</v>
      </c>
    </row>
    <row r="239" spans="3:7" ht="17.25" thickBot="1" thickTop="1">
      <c r="C239" s="28"/>
      <c r="D239" s="543" t="s">
        <v>94</v>
      </c>
      <c r="E239" s="544"/>
      <c r="F239" s="545"/>
      <c r="G239" s="20">
        <f>G220+G228+G235</f>
        <v>0.19963849619708993</v>
      </c>
    </row>
    <row r="240" ht="15.75" thickTop="1"/>
    <row r="243" spans="3:7" ht="19.5" thickBot="1">
      <c r="C243" s="546" t="str">
        <f>PLATOS!F18</f>
        <v>COSTO-POSTRE'!C220</v>
      </c>
      <c r="D243" s="546"/>
      <c r="E243" s="546"/>
      <c r="F243" s="546"/>
      <c r="G243" s="546"/>
    </row>
    <row r="244" spans="4:7" ht="15.75" thickBot="1">
      <c r="D244" s="31" t="s">
        <v>96</v>
      </c>
      <c r="E244" s="31"/>
      <c r="F244" s="32" t="s">
        <v>95</v>
      </c>
      <c r="G244" s="30" t="s">
        <v>97</v>
      </c>
    </row>
    <row r="245" spans="3:7" ht="15.75" thickBot="1">
      <c r="C245" s="547" t="s">
        <v>91</v>
      </c>
      <c r="D245" s="548"/>
      <c r="E245" s="548"/>
      <c r="F245" s="549"/>
      <c r="G245" s="24">
        <f>SUM(G246:G252)</f>
        <v>0</v>
      </c>
    </row>
    <row r="246" spans="3:7" ht="15">
      <c r="C246" s="25"/>
      <c r="D246" s="25"/>
      <c r="E246" s="25"/>
      <c r="F246" s="26"/>
      <c r="G246" s="12">
        <f>D246*F246</f>
        <v>0</v>
      </c>
    </row>
    <row r="247" spans="3:7" ht="15">
      <c r="C247" s="27"/>
      <c r="D247" s="27"/>
      <c r="E247" s="27"/>
      <c r="F247" s="12"/>
      <c r="G247" s="12">
        <f aca="true" t="shared" si="19" ref="G247:G252">D247*F247</f>
        <v>0</v>
      </c>
    </row>
    <row r="248" spans="3:7" ht="15">
      <c r="C248" s="27"/>
      <c r="D248" s="27"/>
      <c r="E248" s="27"/>
      <c r="F248" s="12"/>
      <c r="G248" s="12">
        <f t="shared" si="19"/>
        <v>0</v>
      </c>
    </row>
    <row r="249" spans="3:7" ht="15">
      <c r="C249" s="27"/>
      <c r="D249" s="27"/>
      <c r="E249" s="27"/>
      <c r="F249" s="12"/>
      <c r="G249" s="12">
        <f t="shared" si="19"/>
        <v>0</v>
      </c>
    </row>
    <row r="250" spans="3:7" ht="15">
      <c r="C250" s="27"/>
      <c r="D250" s="27"/>
      <c r="E250" s="27"/>
      <c r="F250" s="12"/>
      <c r="G250" s="12">
        <f t="shared" si="19"/>
        <v>0</v>
      </c>
    </row>
    <row r="251" spans="3:7" ht="15">
      <c r="C251" s="27"/>
      <c r="D251" s="27"/>
      <c r="E251" s="27"/>
      <c r="F251" s="12"/>
      <c r="G251" s="12">
        <f t="shared" si="19"/>
        <v>0</v>
      </c>
    </row>
    <row r="252" spans="3:7" ht="15.75" thickBot="1">
      <c r="C252" s="22"/>
      <c r="D252" s="22"/>
      <c r="E252" s="22"/>
      <c r="F252" s="23"/>
      <c r="G252" s="12">
        <f t="shared" si="19"/>
        <v>0</v>
      </c>
    </row>
    <row r="253" spans="3:7" ht="15.75" thickBot="1">
      <c r="C253" s="135" t="s">
        <v>92</v>
      </c>
      <c r="D253" s="38" t="s">
        <v>185</v>
      </c>
      <c r="E253" s="39"/>
      <c r="F253" s="39" t="s">
        <v>184</v>
      </c>
      <c r="G253" s="76">
        <f>SUM(G254:G259)</f>
        <v>0.09166666666666666</v>
      </c>
    </row>
    <row r="254" spans="3:7" ht="15">
      <c r="C254" s="41" t="s">
        <v>186</v>
      </c>
      <c r="D254" s="40"/>
      <c r="E254" s="40"/>
      <c r="F254" s="26"/>
      <c r="G254" s="12"/>
    </row>
    <row r="255" spans="3:7" ht="15">
      <c r="C255" s="25" t="s">
        <v>140</v>
      </c>
      <c r="D255" s="67">
        <f>'TIEMPO P.P.'!$F$9/'TIEMPO P.P.'!$H$3</f>
        <v>0.016</v>
      </c>
      <c r="E255" s="67"/>
      <c r="F255" s="26">
        <f>IF(DATOS!$I$9&gt;0,(DATOS!$C$4*'TIEMPO P.P.'!$I$3)/240,0)</f>
        <v>0</v>
      </c>
      <c r="G255" s="12">
        <f>D255*F255</f>
        <v>0</v>
      </c>
    </row>
    <row r="256" spans="3:7" ht="15">
      <c r="C256" s="25" t="s">
        <v>78</v>
      </c>
      <c r="D256" s="67">
        <f>'TIEMPO P.P.'!$F$20/'TIEMPO P.P.'!$H$3</f>
        <v>0.032888888888888884</v>
      </c>
      <c r="E256" s="67"/>
      <c r="F256" s="26">
        <f>IF(DATOS!$J$9&gt;0,DATOS!$C$5*'TIEMPO P.P.'!$I$14/240,0)</f>
        <v>0</v>
      </c>
      <c r="G256" s="12">
        <f>F256*D256</f>
        <v>0</v>
      </c>
    </row>
    <row r="257" spans="3:7" ht="15">
      <c r="C257" s="41" t="s">
        <v>187</v>
      </c>
      <c r="D257" s="42"/>
      <c r="E257" s="42"/>
      <c r="F257" s="26"/>
      <c r="G257" s="12"/>
    </row>
    <row r="258" spans="3:7" ht="15">
      <c r="C258" s="27" t="s">
        <v>140</v>
      </c>
      <c r="D258" s="68">
        <f>D255</f>
        <v>0.016</v>
      </c>
      <c r="E258" s="68"/>
      <c r="F258" s="12">
        <f>IF(DATOS!$I$14&gt;0,DATOS!$C$7*'TIEMPO P.P.'!$I$3/8,0)</f>
        <v>1.875</v>
      </c>
      <c r="G258" s="12">
        <f>D258*F258</f>
        <v>0.03</v>
      </c>
    </row>
    <row r="259" spans="3:7" ht="15.75" thickBot="1">
      <c r="C259" s="22" t="s">
        <v>78</v>
      </c>
      <c r="D259" s="71">
        <f>D256</f>
        <v>0.032888888888888884</v>
      </c>
      <c r="E259" s="71"/>
      <c r="F259" s="12">
        <f>IF(DATOS!$J$14&gt;0,DATOS!$C$8*'TIEMPO P.P.'!$I$14/8,0)</f>
        <v>1.875</v>
      </c>
      <c r="G259" s="12">
        <f>D259*F259</f>
        <v>0.06166666666666666</v>
      </c>
    </row>
    <row r="260" spans="3:7" ht="15.75" thickBot="1">
      <c r="C260" s="135" t="s">
        <v>93</v>
      </c>
      <c r="D260" s="38" t="s">
        <v>193</v>
      </c>
      <c r="E260" s="39"/>
      <c r="F260" s="39" t="s">
        <v>198</v>
      </c>
      <c r="G260" s="76">
        <f>SUM(G261:G263)</f>
        <v>0.10797182953042327</v>
      </c>
    </row>
    <row r="261" spans="3:7" ht="15">
      <c r="C261" s="25" t="s">
        <v>191</v>
      </c>
      <c r="D261" s="70">
        <f>('TIEMPO P.P.'!$E$9+'TIEMPO P.P.'!$E$20)/2</f>
        <v>0.09166666666666666</v>
      </c>
      <c r="E261" s="70"/>
      <c r="F261" s="26">
        <f>IF(DATOS!$F$51=0,DATOS!$F$20,DATOS!$F$51)</f>
        <v>1.1778745039682539</v>
      </c>
      <c r="G261" s="12">
        <f>D261*$F$20</f>
        <v>0.10797182953042327</v>
      </c>
    </row>
    <row r="262" spans="3:7" ht="15">
      <c r="C262" s="27" t="s">
        <v>192</v>
      </c>
      <c r="D262" s="69">
        <f>D261</f>
        <v>0.09166666666666666</v>
      </c>
      <c r="E262" s="69"/>
      <c r="F262" s="12">
        <f>DATOS!$F$65/ORDEN!$D$34</f>
        <v>0</v>
      </c>
      <c r="G262" s="12">
        <f>D262*$F$21</f>
        <v>0</v>
      </c>
    </row>
    <row r="263" spans="3:7" ht="15.75" thickBot="1">
      <c r="C263" s="27"/>
      <c r="D263" s="27"/>
      <c r="E263" s="27"/>
      <c r="F263" s="12"/>
      <c r="G263" s="12">
        <f aca="true" t="shared" si="20" ref="G263">D263*F263</f>
        <v>0</v>
      </c>
    </row>
    <row r="264" spans="3:7" ht="17.25" thickBot="1" thickTop="1">
      <c r="C264" s="28"/>
      <c r="D264" s="543" t="s">
        <v>94</v>
      </c>
      <c r="E264" s="544"/>
      <c r="F264" s="545"/>
      <c r="G264" s="20">
        <f>G245+G253+G260</f>
        <v>0.19963849619708993</v>
      </c>
    </row>
    <row r="265" ht="15.75" thickTop="1"/>
    <row r="267" spans="3:7" ht="19.5" thickBot="1">
      <c r="C267" s="546" t="str">
        <f>PLATOS!F19</f>
        <v>COSTO-POSTRE'!C241</v>
      </c>
      <c r="D267" s="546"/>
      <c r="E267" s="546"/>
      <c r="F267" s="546"/>
      <c r="G267" s="546"/>
    </row>
    <row r="268" spans="4:7" ht="15.75" thickBot="1">
      <c r="D268" s="31" t="s">
        <v>96</v>
      </c>
      <c r="E268" s="31"/>
      <c r="F268" s="32" t="s">
        <v>95</v>
      </c>
      <c r="G268" s="30" t="s">
        <v>97</v>
      </c>
    </row>
    <row r="269" spans="3:7" ht="15.75" thickBot="1">
      <c r="C269" s="547" t="s">
        <v>91</v>
      </c>
      <c r="D269" s="548"/>
      <c r="E269" s="548"/>
      <c r="F269" s="549"/>
      <c r="G269" s="24">
        <f>SUM(G270:G276)</f>
        <v>0</v>
      </c>
    </row>
    <row r="270" spans="3:7" ht="15">
      <c r="C270" s="25"/>
      <c r="D270" s="25"/>
      <c r="E270" s="25"/>
      <c r="F270" s="26"/>
      <c r="G270" s="12">
        <f>D270*F270</f>
        <v>0</v>
      </c>
    </row>
    <row r="271" spans="3:7" ht="15">
      <c r="C271" s="27"/>
      <c r="D271" s="27"/>
      <c r="E271" s="27"/>
      <c r="F271" s="12"/>
      <c r="G271" s="12">
        <f aca="true" t="shared" si="21" ref="G271:G276">D271*F271</f>
        <v>0</v>
      </c>
    </row>
    <row r="272" spans="3:7" ht="15">
      <c r="C272" s="27"/>
      <c r="D272" s="27"/>
      <c r="E272" s="27"/>
      <c r="F272" s="12"/>
      <c r="G272" s="12">
        <f t="shared" si="21"/>
        <v>0</v>
      </c>
    </row>
    <row r="273" spans="3:7" ht="15">
      <c r="C273" s="27"/>
      <c r="D273" s="27"/>
      <c r="E273" s="27"/>
      <c r="F273" s="12"/>
      <c r="G273" s="12">
        <f t="shared" si="21"/>
        <v>0</v>
      </c>
    </row>
    <row r="274" spans="3:7" ht="15">
      <c r="C274" s="27"/>
      <c r="D274" s="27"/>
      <c r="E274" s="27"/>
      <c r="F274" s="12"/>
      <c r="G274" s="12">
        <f t="shared" si="21"/>
        <v>0</v>
      </c>
    </row>
    <row r="275" spans="3:7" ht="15">
      <c r="C275" s="27"/>
      <c r="D275" s="27"/>
      <c r="E275" s="27"/>
      <c r="F275" s="12"/>
      <c r="G275" s="12">
        <f t="shared" si="21"/>
        <v>0</v>
      </c>
    </row>
    <row r="276" spans="3:7" ht="15.75" thickBot="1">
      <c r="C276" s="22"/>
      <c r="D276" s="22"/>
      <c r="E276" s="22"/>
      <c r="F276" s="23"/>
      <c r="G276" s="12">
        <f t="shared" si="21"/>
        <v>0</v>
      </c>
    </row>
    <row r="277" spans="3:7" ht="15.75" thickBot="1">
      <c r="C277" s="135" t="s">
        <v>92</v>
      </c>
      <c r="D277" s="38" t="s">
        <v>185</v>
      </c>
      <c r="E277" s="39"/>
      <c r="F277" s="39" t="s">
        <v>184</v>
      </c>
      <c r="G277" s="76">
        <f>SUM(G278:G283)</f>
        <v>0.09166666666666666</v>
      </c>
    </row>
    <row r="278" spans="3:7" ht="15">
      <c r="C278" s="41" t="s">
        <v>186</v>
      </c>
      <c r="D278" s="40"/>
      <c r="E278" s="40"/>
      <c r="F278" s="26"/>
      <c r="G278" s="12"/>
    </row>
    <row r="279" spans="3:7" ht="15">
      <c r="C279" s="25" t="s">
        <v>140</v>
      </c>
      <c r="D279" s="67">
        <f>'TIEMPO P.P.'!$F$9/'TIEMPO P.P.'!$H$3</f>
        <v>0.016</v>
      </c>
      <c r="E279" s="67"/>
      <c r="F279" s="26">
        <f>IF(DATOS!$I$9&gt;0,(DATOS!$C$4*'TIEMPO P.P.'!$I$3)/240,0)</f>
        <v>0</v>
      </c>
      <c r="G279" s="12">
        <f>D279*F279</f>
        <v>0</v>
      </c>
    </row>
    <row r="280" spans="3:7" ht="15">
      <c r="C280" s="25" t="s">
        <v>78</v>
      </c>
      <c r="D280" s="67">
        <f>'TIEMPO P.P.'!$F$20/'TIEMPO P.P.'!$H$3</f>
        <v>0.032888888888888884</v>
      </c>
      <c r="E280" s="67"/>
      <c r="F280" s="26">
        <f>IF(DATOS!$J$9&gt;0,DATOS!$C$5*'TIEMPO P.P.'!$I$14/240,0)</f>
        <v>0</v>
      </c>
      <c r="G280" s="12">
        <f>F280*D280</f>
        <v>0</v>
      </c>
    </row>
    <row r="281" spans="3:7" ht="15">
      <c r="C281" s="41" t="s">
        <v>187</v>
      </c>
      <c r="D281" s="42"/>
      <c r="E281" s="42"/>
      <c r="F281" s="26"/>
      <c r="G281" s="12"/>
    </row>
    <row r="282" spans="3:7" ht="15">
      <c r="C282" s="27" t="s">
        <v>140</v>
      </c>
      <c r="D282" s="68">
        <f>D279</f>
        <v>0.016</v>
      </c>
      <c r="E282" s="68"/>
      <c r="F282" s="12">
        <f>IF(DATOS!$I$14&gt;0,DATOS!$C$7*'TIEMPO P.P.'!$I$3/8,0)</f>
        <v>1.875</v>
      </c>
      <c r="G282" s="12">
        <f>D282*F282</f>
        <v>0.03</v>
      </c>
    </row>
    <row r="283" spans="3:7" ht="15.75" thickBot="1">
      <c r="C283" s="22" t="s">
        <v>78</v>
      </c>
      <c r="D283" s="71">
        <f>D280</f>
        <v>0.032888888888888884</v>
      </c>
      <c r="E283" s="71"/>
      <c r="F283" s="12">
        <f>IF(DATOS!$J$14&gt;0,DATOS!$C$8*'TIEMPO P.P.'!$I$14/8,0)</f>
        <v>1.875</v>
      </c>
      <c r="G283" s="12">
        <f>D283*F283</f>
        <v>0.06166666666666666</v>
      </c>
    </row>
    <row r="284" spans="3:7" ht="15.75" thickBot="1">
      <c r="C284" s="135" t="s">
        <v>93</v>
      </c>
      <c r="D284" s="38" t="s">
        <v>193</v>
      </c>
      <c r="E284" s="39"/>
      <c r="F284" s="39" t="s">
        <v>198</v>
      </c>
      <c r="G284" s="76">
        <f>SUM(G285:G287)</f>
        <v>0.10797182953042327</v>
      </c>
    </row>
    <row r="285" spans="3:7" ht="15">
      <c r="C285" s="25" t="s">
        <v>191</v>
      </c>
      <c r="D285" s="70">
        <f>('TIEMPO P.P.'!$E$9+'TIEMPO P.P.'!$E$20)/2</f>
        <v>0.09166666666666666</v>
      </c>
      <c r="E285" s="70"/>
      <c r="F285" s="26">
        <f>IF(DATOS!$F$51=0,DATOS!$F$20,DATOS!$F$51)</f>
        <v>1.1778745039682539</v>
      </c>
      <c r="G285" s="12">
        <f>D285*$F$20</f>
        <v>0.10797182953042327</v>
      </c>
    </row>
    <row r="286" spans="3:7" ht="15">
      <c r="C286" s="27" t="s">
        <v>192</v>
      </c>
      <c r="D286" s="69">
        <f>D285</f>
        <v>0.09166666666666666</v>
      </c>
      <c r="E286" s="69"/>
      <c r="F286" s="12">
        <f>DATOS!$F$65/ORDEN!$D$34</f>
        <v>0</v>
      </c>
      <c r="G286" s="12">
        <f>D286*$F$21</f>
        <v>0</v>
      </c>
    </row>
    <row r="287" spans="3:7" ht="15.75" thickBot="1">
      <c r="C287" s="27"/>
      <c r="D287" s="27"/>
      <c r="E287" s="27"/>
      <c r="F287" s="12"/>
      <c r="G287" s="12">
        <f aca="true" t="shared" si="22" ref="G287">D287*F287</f>
        <v>0</v>
      </c>
    </row>
    <row r="288" spans="3:7" ht="17.25" thickBot="1" thickTop="1">
      <c r="C288" s="28"/>
      <c r="D288" s="543" t="s">
        <v>94</v>
      </c>
      <c r="E288" s="544"/>
      <c r="F288" s="545"/>
      <c r="G288" s="20">
        <f>G269+G277+G284</f>
        <v>0.19963849619708993</v>
      </c>
    </row>
    <row r="289" ht="15.75" thickTop="1"/>
    <row r="292" spans="3:7" ht="19.5" thickBot="1">
      <c r="C292" s="546" t="str">
        <f>PLATOS!F20</f>
        <v>COSTO-POSTRE'!C263</v>
      </c>
      <c r="D292" s="546"/>
      <c r="E292" s="546"/>
      <c r="F292" s="546"/>
      <c r="G292" s="546"/>
    </row>
    <row r="293" spans="4:7" ht="15.75" thickBot="1">
      <c r="D293" s="31" t="s">
        <v>96</v>
      </c>
      <c r="E293" s="31"/>
      <c r="F293" s="32" t="s">
        <v>95</v>
      </c>
      <c r="G293" s="30" t="s">
        <v>97</v>
      </c>
    </row>
    <row r="294" spans="3:7" ht="15.75" thickBot="1">
      <c r="C294" s="547" t="s">
        <v>91</v>
      </c>
      <c r="D294" s="548"/>
      <c r="E294" s="548"/>
      <c r="F294" s="549"/>
      <c r="G294" s="24">
        <f>SUM(G295:G301)</f>
        <v>0</v>
      </c>
    </row>
    <row r="295" spans="3:7" ht="15">
      <c r="C295" s="25"/>
      <c r="D295" s="25"/>
      <c r="E295" s="25"/>
      <c r="F295" s="26"/>
      <c r="G295" s="12">
        <f>D295*F295</f>
        <v>0</v>
      </c>
    </row>
    <row r="296" spans="3:7" ht="15">
      <c r="C296" s="27"/>
      <c r="D296" s="27"/>
      <c r="E296" s="27"/>
      <c r="F296" s="12"/>
      <c r="G296" s="12">
        <f aca="true" t="shared" si="23" ref="G296:G301">D296*F296</f>
        <v>0</v>
      </c>
    </row>
    <row r="297" spans="3:7" ht="15">
      <c r="C297" s="27"/>
      <c r="D297" s="27"/>
      <c r="E297" s="27"/>
      <c r="F297" s="12"/>
      <c r="G297" s="12">
        <f t="shared" si="23"/>
        <v>0</v>
      </c>
    </row>
    <row r="298" spans="3:7" ht="15">
      <c r="C298" s="27"/>
      <c r="D298" s="27"/>
      <c r="E298" s="27"/>
      <c r="F298" s="12"/>
      <c r="G298" s="12">
        <f t="shared" si="23"/>
        <v>0</v>
      </c>
    </row>
    <row r="299" spans="3:7" ht="15">
      <c r="C299" s="27"/>
      <c r="D299" s="27"/>
      <c r="E299" s="27"/>
      <c r="F299" s="12"/>
      <c r="G299" s="12">
        <f t="shared" si="23"/>
        <v>0</v>
      </c>
    </row>
    <row r="300" spans="3:7" ht="15">
      <c r="C300" s="27"/>
      <c r="D300" s="27"/>
      <c r="E300" s="27"/>
      <c r="F300" s="12"/>
      <c r="G300" s="12">
        <f t="shared" si="23"/>
        <v>0</v>
      </c>
    </row>
    <row r="301" spans="3:7" ht="15.75" thickBot="1">
      <c r="C301" s="22"/>
      <c r="D301" s="22"/>
      <c r="E301" s="22"/>
      <c r="F301" s="23"/>
      <c r="G301" s="12">
        <f t="shared" si="23"/>
        <v>0</v>
      </c>
    </row>
    <row r="302" spans="3:7" ht="15.75" thickBot="1">
      <c r="C302" s="135" t="s">
        <v>92</v>
      </c>
      <c r="D302" s="38" t="s">
        <v>185</v>
      </c>
      <c r="E302" s="39"/>
      <c r="F302" s="39" t="s">
        <v>184</v>
      </c>
      <c r="G302" s="76">
        <f>SUM(G303:G308)</f>
        <v>0.09166666666666666</v>
      </c>
    </row>
    <row r="303" spans="3:7" ht="15">
      <c r="C303" s="41" t="s">
        <v>186</v>
      </c>
      <c r="D303" s="40"/>
      <c r="E303" s="40"/>
      <c r="F303" s="26"/>
      <c r="G303" s="12"/>
    </row>
    <row r="304" spans="3:7" ht="15">
      <c r="C304" s="25" t="s">
        <v>140</v>
      </c>
      <c r="D304" s="67">
        <f>'TIEMPO P.P.'!$F$9/'TIEMPO P.P.'!$H$3</f>
        <v>0.016</v>
      </c>
      <c r="E304" s="67"/>
      <c r="F304" s="26">
        <f>IF(DATOS!$I$9&gt;0,(DATOS!$C$4*'TIEMPO P.P.'!$I$3)/240,0)</f>
        <v>0</v>
      </c>
      <c r="G304" s="12">
        <f>D304*F304</f>
        <v>0</v>
      </c>
    </row>
    <row r="305" spans="3:7" ht="15">
      <c r="C305" s="25" t="s">
        <v>78</v>
      </c>
      <c r="D305" s="67">
        <f>'TIEMPO P.P.'!$F$20/'TIEMPO P.P.'!$H$3</f>
        <v>0.032888888888888884</v>
      </c>
      <c r="E305" s="67"/>
      <c r="F305" s="26">
        <f>IF(DATOS!$J$9&gt;0,DATOS!$C$5*'TIEMPO P.P.'!$I$14/240,0)</f>
        <v>0</v>
      </c>
      <c r="G305" s="12">
        <f>F305*D305</f>
        <v>0</v>
      </c>
    </row>
    <row r="306" spans="3:7" ht="15">
      <c r="C306" s="41" t="s">
        <v>187</v>
      </c>
      <c r="D306" s="42"/>
      <c r="E306" s="42"/>
      <c r="F306" s="26"/>
      <c r="G306" s="12"/>
    </row>
    <row r="307" spans="3:7" ht="15">
      <c r="C307" s="27" t="s">
        <v>140</v>
      </c>
      <c r="D307" s="68">
        <f>D304</f>
        <v>0.016</v>
      </c>
      <c r="E307" s="68"/>
      <c r="F307" s="12">
        <f>IF(DATOS!$I$14&gt;0,DATOS!$C$7*'TIEMPO P.P.'!$I$3/8,0)</f>
        <v>1.875</v>
      </c>
      <c r="G307" s="12">
        <f>D307*F307</f>
        <v>0.03</v>
      </c>
    </row>
    <row r="308" spans="3:7" ht="15.75" thickBot="1">
      <c r="C308" s="22" t="s">
        <v>78</v>
      </c>
      <c r="D308" s="71">
        <f>D305</f>
        <v>0.032888888888888884</v>
      </c>
      <c r="E308" s="71"/>
      <c r="F308" s="12">
        <f>IF(DATOS!$J$14&gt;0,DATOS!$C$8*'TIEMPO P.P.'!$I$14/8,0)</f>
        <v>1.875</v>
      </c>
      <c r="G308" s="12">
        <f>D308*F308</f>
        <v>0.06166666666666666</v>
      </c>
    </row>
    <row r="309" spans="3:7" ht="15.75" thickBot="1">
      <c r="C309" s="135" t="s">
        <v>93</v>
      </c>
      <c r="D309" s="38" t="s">
        <v>193</v>
      </c>
      <c r="E309" s="39"/>
      <c r="F309" s="39" t="s">
        <v>198</v>
      </c>
      <c r="G309" s="76">
        <f>SUM(G310:G312)</f>
        <v>0.10797182953042327</v>
      </c>
    </row>
    <row r="310" spans="3:7" ht="15">
      <c r="C310" s="25" t="s">
        <v>191</v>
      </c>
      <c r="D310" s="70">
        <f>('TIEMPO P.P.'!$E$9+'TIEMPO P.P.'!$E$20)/2</f>
        <v>0.09166666666666666</v>
      </c>
      <c r="E310" s="70"/>
      <c r="F310" s="26">
        <f>IF(DATOS!$F$51=0,DATOS!$F$20,DATOS!$F$51)</f>
        <v>1.1778745039682539</v>
      </c>
      <c r="G310" s="12">
        <f>D310*$F$20</f>
        <v>0.10797182953042327</v>
      </c>
    </row>
    <row r="311" spans="3:7" ht="15">
      <c r="C311" s="27" t="s">
        <v>192</v>
      </c>
      <c r="D311" s="69">
        <f>D310</f>
        <v>0.09166666666666666</v>
      </c>
      <c r="E311" s="69"/>
      <c r="F311" s="12">
        <f>DATOS!$F$65/ORDEN!$D$34</f>
        <v>0</v>
      </c>
      <c r="G311" s="12">
        <f>D311*$F$21</f>
        <v>0</v>
      </c>
    </row>
    <row r="312" spans="3:7" ht="15.75" thickBot="1">
      <c r="C312" s="27"/>
      <c r="D312" s="27"/>
      <c r="E312" s="27"/>
      <c r="F312" s="12"/>
      <c r="G312" s="12">
        <f aca="true" t="shared" si="24" ref="G312">D312*F312</f>
        <v>0</v>
      </c>
    </row>
    <row r="313" spans="3:7" ht="17.25" thickBot="1" thickTop="1">
      <c r="C313" s="28"/>
      <c r="D313" s="543" t="s">
        <v>94</v>
      </c>
      <c r="E313" s="544"/>
      <c r="F313" s="545"/>
      <c r="G313" s="20">
        <f>G294+G302+G309</f>
        <v>0.19963849619708993</v>
      </c>
    </row>
    <row r="314" ht="15.75" thickTop="1"/>
  </sheetData>
  <mergeCells count="41">
    <mergeCell ref="D42:F42"/>
    <mergeCell ref="C1:H1"/>
    <mergeCell ref="C3:H3"/>
    <mergeCell ref="C5:G5"/>
    <mergeCell ref="C7:F7"/>
    <mergeCell ref="D23:F23"/>
    <mergeCell ref="C26:G26"/>
    <mergeCell ref="C28:F28"/>
    <mergeCell ref="C101:F101"/>
    <mergeCell ref="C46:G46"/>
    <mergeCell ref="C48:F48"/>
    <mergeCell ref="D74:F74"/>
    <mergeCell ref="C77:G77"/>
    <mergeCell ref="C79:F79"/>
    <mergeCell ref="D95:F95"/>
    <mergeCell ref="C99:G99"/>
    <mergeCell ref="D118:F118"/>
    <mergeCell ref="C121:G121"/>
    <mergeCell ref="C123:F123"/>
    <mergeCell ref="D143:F143"/>
    <mergeCell ref="C147:G147"/>
    <mergeCell ref="C149:F149"/>
    <mergeCell ref="C218:G218"/>
    <mergeCell ref="D166:F166"/>
    <mergeCell ref="C169:G169"/>
    <mergeCell ref="C171:F171"/>
    <mergeCell ref="D190:F190"/>
    <mergeCell ref="C194:G194"/>
    <mergeCell ref="C196:F196"/>
    <mergeCell ref="D215:F215"/>
    <mergeCell ref="C220:F220"/>
    <mergeCell ref="D239:F239"/>
    <mergeCell ref="C243:G243"/>
    <mergeCell ref="C245:F245"/>
    <mergeCell ref="D264:F264"/>
    <mergeCell ref="C267:G267"/>
    <mergeCell ref="C269:F269"/>
    <mergeCell ref="D313:F313"/>
    <mergeCell ref="D288:F288"/>
    <mergeCell ref="C292:G292"/>
    <mergeCell ref="C294:F294"/>
  </mergeCells>
  <printOptions/>
  <pageMargins left="0.7" right="0.7" top="0.75" bottom="0.75" header="0.3" footer="0.3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">
    <tabColor theme="9" tint="-0.24997000396251678"/>
  </sheetPr>
  <dimension ref="C1:H311"/>
  <sheetViews>
    <sheetView workbookViewId="0" topLeftCell="A1">
      <pane ySplit="3" topLeftCell="A4" activePane="bottomLeft" state="frozen"/>
      <selection pane="bottomLeft" activeCell="J26" sqref="J26"/>
    </sheetView>
  </sheetViews>
  <sheetFormatPr defaultColWidth="11.421875" defaultRowHeight="15"/>
  <cols>
    <col min="1" max="2" width="11.421875" style="21" customWidth="1"/>
    <col min="3" max="3" width="25.7109375" style="21" customWidth="1"/>
    <col min="4" max="5" width="11.421875" style="21" customWidth="1"/>
    <col min="6" max="6" width="11.421875" style="118" customWidth="1"/>
    <col min="7" max="7" width="12.00390625" style="118" customWidth="1"/>
    <col min="8" max="16384" width="11.421875" style="21" customWidth="1"/>
  </cols>
  <sheetData>
    <row r="1" spans="3:8" ht="19.5">
      <c r="C1" s="550" t="s">
        <v>98</v>
      </c>
      <c r="D1" s="550"/>
      <c r="E1" s="550"/>
      <c r="F1" s="550"/>
      <c r="G1" s="550"/>
      <c r="H1" s="550"/>
    </row>
    <row r="3" spans="3:8" ht="21">
      <c r="C3" s="551" t="s">
        <v>129</v>
      </c>
      <c r="D3" s="551"/>
      <c r="E3" s="551"/>
      <c r="F3" s="551"/>
      <c r="G3" s="551"/>
      <c r="H3" s="551"/>
    </row>
    <row r="5" spans="3:7" ht="19.5" thickBot="1">
      <c r="C5" s="546" t="str">
        <f>PLATOS!G8</f>
        <v>Canguil</v>
      </c>
      <c r="D5" s="546"/>
      <c r="E5" s="546"/>
      <c r="F5" s="546"/>
      <c r="G5" s="546"/>
    </row>
    <row r="6" spans="4:7" ht="15.75" thickBot="1">
      <c r="D6" s="31" t="s">
        <v>96</v>
      </c>
      <c r="E6" s="31"/>
      <c r="F6" s="119" t="s">
        <v>95</v>
      </c>
      <c r="G6" s="113" t="s">
        <v>97</v>
      </c>
    </row>
    <row r="7" spans="3:7" ht="15.75" thickBot="1">
      <c r="C7" s="547" t="s">
        <v>91</v>
      </c>
      <c r="D7" s="548"/>
      <c r="E7" s="548"/>
      <c r="F7" s="549"/>
      <c r="G7" s="114">
        <f>SUM(G8:G10)</f>
        <v>0.3016112</v>
      </c>
    </row>
    <row r="8" spans="3:7" ht="15">
      <c r="C8" s="25" t="s">
        <v>308</v>
      </c>
      <c r="D8" s="25">
        <v>22.73</v>
      </c>
      <c r="E8" s="25" t="s">
        <v>284</v>
      </c>
      <c r="F8" s="120">
        <f>'LISTA DE PRODUCTOS'!$G$74</f>
        <v>0.013200000000000002</v>
      </c>
      <c r="G8" s="115">
        <f>D8*F8</f>
        <v>0.300036</v>
      </c>
    </row>
    <row r="9" spans="3:7" ht="15">
      <c r="C9" s="27" t="s">
        <v>263</v>
      </c>
      <c r="D9" s="27">
        <v>4.54</v>
      </c>
      <c r="E9" s="27" t="s">
        <v>284</v>
      </c>
      <c r="F9" s="115">
        <f>'LISTA DE PRODUCTOS'!$G$3</f>
        <v>0.00033</v>
      </c>
      <c r="G9" s="115">
        <f aca="true" t="shared" si="0" ref="G9:G22">D9*F9</f>
        <v>0.0014982</v>
      </c>
    </row>
    <row r="10" spans="3:7" ht="15">
      <c r="C10" s="27" t="s">
        <v>262</v>
      </c>
      <c r="D10" s="27">
        <v>0.05</v>
      </c>
      <c r="E10" s="27" t="s">
        <v>284</v>
      </c>
      <c r="F10" s="115">
        <f>'LISTA DE PRODUCTOS'!$G$59</f>
        <v>0.0015400000000000001</v>
      </c>
      <c r="G10" s="115">
        <f t="shared" si="0"/>
        <v>7.700000000000001E-05</v>
      </c>
    </row>
    <row r="11" spans="3:7" ht="15.75" thickBot="1">
      <c r="C11" s="2"/>
      <c r="D11" s="2"/>
      <c r="E11" s="2"/>
      <c r="F11" s="136"/>
      <c r="G11" s="136"/>
    </row>
    <row r="12" spans="3:7" ht="15.75" thickBot="1">
      <c r="C12" s="135" t="s">
        <v>92</v>
      </c>
      <c r="D12" s="38" t="s">
        <v>185</v>
      </c>
      <c r="E12" s="39"/>
      <c r="F12" s="122" t="s">
        <v>184</v>
      </c>
      <c r="G12" s="116">
        <f>SUM(G13:G18)</f>
        <v>0.05416666666666666</v>
      </c>
    </row>
    <row r="13" spans="3:7" ht="15">
      <c r="C13" s="41" t="s">
        <v>186</v>
      </c>
      <c r="D13" s="40"/>
      <c r="E13" s="40"/>
      <c r="F13" s="120"/>
      <c r="G13" s="115"/>
    </row>
    <row r="14" spans="3:7" ht="15">
      <c r="C14" s="25" t="s">
        <v>140</v>
      </c>
      <c r="D14" s="67">
        <f>'TIEMPO P.P.'!$F$5/'TIEMPO P.P.'!$H$3</f>
        <v>0.004</v>
      </c>
      <c r="E14" s="67"/>
      <c r="F14" s="120">
        <f>IF(DATOS!$I$9&gt;0,(DATOS!$C$4*'TIEMPO P.P.'!$I$3)/240,0)</f>
        <v>0</v>
      </c>
      <c r="G14" s="115">
        <f>D14*F14</f>
        <v>0</v>
      </c>
    </row>
    <row r="15" spans="3:7" ht="15">
      <c r="C15" s="25" t="s">
        <v>78</v>
      </c>
      <c r="D15" s="67">
        <f>'TIEMPO P.P.'!$F$16/'TIEMPO P.P.'!$H$3</f>
        <v>0.024888888888888887</v>
      </c>
      <c r="E15" s="67"/>
      <c r="F15" s="120">
        <f>IF(DATOS!$J$9&gt;0,DATOS!$C$5*'TIEMPO P.P.'!$I$14/240,0)</f>
        <v>0</v>
      </c>
      <c r="G15" s="115">
        <f>F15*D15</f>
        <v>0</v>
      </c>
    </row>
    <row r="16" spans="3:7" ht="15">
      <c r="C16" s="41" t="s">
        <v>187</v>
      </c>
      <c r="D16" s="42"/>
      <c r="E16" s="42"/>
      <c r="F16" s="120"/>
      <c r="G16" s="115"/>
    </row>
    <row r="17" spans="3:7" ht="15">
      <c r="C17" s="27" t="s">
        <v>140</v>
      </c>
      <c r="D17" s="68">
        <f>D14</f>
        <v>0.004</v>
      </c>
      <c r="E17" s="68"/>
      <c r="F17" s="115">
        <f>IF(DATOS!$I$14&gt;0,DATOS!$C$7*'TIEMPO P.P.'!$I$3/8,0)</f>
        <v>1.875</v>
      </c>
      <c r="G17" s="115">
        <f>D17*F17</f>
        <v>0.0075</v>
      </c>
    </row>
    <row r="18" spans="3:7" ht="15.75" thickBot="1">
      <c r="C18" s="22" t="s">
        <v>78</v>
      </c>
      <c r="D18" s="71">
        <f>D15</f>
        <v>0.024888888888888887</v>
      </c>
      <c r="E18" s="71"/>
      <c r="F18" s="115">
        <f>IF(DATOS!$J$14&gt;0,DATOS!$C$8*'TIEMPO P.P.'!$I$14/8,0)</f>
        <v>1.875</v>
      </c>
      <c r="G18" s="115">
        <f>D18*F18</f>
        <v>0.04666666666666666</v>
      </c>
    </row>
    <row r="19" spans="3:7" ht="15.75" thickBot="1">
      <c r="C19" s="135" t="s">
        <v>93</v>
      </c>
      <c r="D19" s="38" t="s">
        <v>193</v>
      </c>
      <c r="E19" s="39"/>
      <c r="F19" s="122" t="s">
        <v>198</v>
      </c>
      <c r="G19" s="116">
        <f>SUM(G20:G22)</f>
        <v>0.06380153563161374</v>
      </c>
    </row>
    <row r="20" spans="3:7" ht="15">
      <c r="C20" s="25" t="s">
        <v>191</v>
      </c>
      <c r="D20" s="70">
        <f>('TIEMPO P.P.'!$E$5+'TIEMPO P.P.'!$E$16)/2</f>
        <v>0.05416666666666666</v>
      </c>
      <c r="E20" s="70"/>
      <c r="F20" s="120">
        <f>IF(DATOS!$F$51=0,DATOS!$F$20,DATOS!$F$51)</f>
        <v>1.1778745039682539</v>
      </c>
      <c r="G20" s="115">
        <f>D20*$F$20</f>
        <v>0.06380153563161374</v>
      </c>
    </row>
    <row r="21" spans="3:7" ht="15">
      <c r="C21" s="27" t="s">
        <v>192</v>
      </c>
      <c r="D21" s="69">
        <f>D20</f>
        <v>0.05416666666666666</v>
      </c>
      <c r="E21" s="69"/>
      <c r="F21" s="115">
        <f>DATOS!$F$65/ORDEN!$D$34</f>
        <v>0</v>
      </c>
      <c r="G21" s="115">
        <f>D21*$F$21</f>
        <v>0</v>
      </c>
    </row>
    <row r="22" spans="3:7" ht="15.75" thickBot="1">
      <c r="C22" s="27"/>
      <c r="D22" s="27"/>
      <c r="E22" s="27"/>
      <c r="F22" s="115"/>
      <c r="G22" s="115">
        <f t="shared" si="0"/>
        <v>0</v>
      </c>
    </row>
    <row r="23" spans="3:7" ht="17.25" thickBot="1" thickTop="1">
      <c r="C23" s="28"/>
      <c r="D23" s="543" t="s">
        <v>94</v>
      </c>
      <c r="E23" s="544"/>
      <c r="F23" s="545"/>
      <c r="G23" s="117">
        <f>G7+G12+G19</f>
        <v>0.4195794022982804</v>
      </c>
    </row>
    <row r="24" ht="15.75" thickTop="1"/>
    <row r="26" spans="3:7" ht="19.5" thickBot="1">
      <c r="C26" s="546" t="str">
        <f>PLATOS!G9</f>
        <v>Canguil con Chifles</v>
      </c>
      <c r="D26" s="546"/>
      <c r="E26" s="546"/>
      <c r="F26" s="546"/>
      <c r="G26" s="546"/>
    </row>
    <row r="27" spans="4:7" ht="15.75" thickBot="1">
      <c r="D27" s="31" t="s">
        <v>96</v>
      </c>
      <c r="E27" s="31"/>
      <c r="F27" s="119" t="s">
        <v>95</v>
      </c>
      <c r="G27" s="113" t="s">
        <v>97</v>
      </c>
    </row>
    <row r="28" spans="3:7" ht="15.75" thickBot="1">
      <c r="C28" s="547" t="s">
        <v>91</v>
      </c>
      <c r="D28" s="548"/>
      <c r="E28" s="548"/>
      <c r="F28" s="549"/>
      <c r="G28" s="114">
        <f>SUM(G29:G32)</f>
        <v>0.32160920000000004</v>
      </c>
    </row>
    <row r="29" spans="3:7" ht="15">
      <c r="C29" s="25" t="s">
        <v>308</v>
      </c>
      <c r="D29" s="25">
        <v>22.73</v>
      </c>
      <c r="E29" s="25" t="s">
        <v>284</v>
      </c>
      <c r="F29" s="120">
        <f>'LISTA DE PRODUCTOS'!$G$74</f>
        <v>0.013200000000000002</v>
      </c>
      <c r="G29" s="115">
        <f>D29*F29</f>
        <v>0.300036</v>
      </c>
    </row>
    <row r="30" spans="3:7" ht="15">
      <c r="C30" s="27" t="s">
        <v>263</v>
      </c>
      <c r="D30" s="27">
        <v>4.54</v>
      </c>
      <c r="E30" s="27" t="s">
        <v>284</v>
      </c>
      <c r="F30" s="115">
        <f>'LISTA DE PRODUCTOS'!$G$3</f>
        <v>0.00033</v>
      </c>
      <c r="G30" s="115">
        <f aca="true" t="shared" si="1" ref="G30:G32">D30*F30</f>
        <v>0.0014982</v>
      </c>
    </row>
    <row r="31" spans="3:7" ht="15">
      <c r="C31" s="27" t="s">
        <v>262</v>
      </c>
      <c r="D31" s="27">
        <v>0.05</v>
      </c>
      <c r="E31" s="27" t="s">
        <v>284</v>
      </c>
      <c r="F31" s="115">
        <f>'LISTA DE PRODUCTOS'!$G$59</f>
        <v>0.0015400000000000001</v>
      </c>
      <c r="G31" s="115">
        <f t="shared" si="1"/>
        <v>7.700000000000001E-05</v>
      </c>
    </row>
    <row r="32" spans="3:7" ht="15">
      <c r="C32" s="27" t="s">
        <v>309</v>
      </c>
      <c r="D32" s="27">
        <v>18.18</v>
      </c>
      <c r="E32" s="27" t="s">
        <v>284</v>
      </c>
      <c r="F32" s="115">
        <f>'LISTA DE PRODUCTOS'!G96</f>
        <v>0.0011</v>
      </c>
      <c r="G32" s="115">
        <f t="shared" si="1"/>
        <v>0.019998000000000002</v>
      </c>
    </row>
    <row r="33" spans="3:7" ht="15.75" thickBot="1">
      <c r="C33" s="2"/>
      <c r="D33" s="2"/>
      <c r="E33" s="2"/>
      <c r="F33" s="136"/>
      <c r="G33" s="136"/>
    </row>
    <row r="34" spans="3:7" ht="15.75" thickBot="1">
      <c r="C34" s="135" t="s">
        <v>92</v>
      </c>
      <c r="D34" s="38" t="s">
        <v>185</v>
      </c>
      <c r="E34" s="39"/>
      <c r="F34" s="122" t="s">
        <v>184</v>
      </c>
      <c r="G34" s="116">
        <f>SUM(G35:G40)</f>
        <v>0.05416666666666666</v>
      </c>
    </row>
    <row r="35" spans="3:7" ht="15">
      <c r="C35" s="41" t="s">
        <v>186</v>
      </c>
      <c r="D35" s="40"/>
      <c r="E35" s="40"/>
      <c r="F35" s="120"/>
      <c r="G35" s="115"/>
    </row>
    <row r="36" spans="3:7" ht="15">
      <c r="C36" s="25" t="s">
        <v>140</v>
      </c>
      <c r="D36" s="67">
        <f>'TIEMPO P.P.'!$F$5/'TIEMPO P.P.'!$H$3</f>
        <v>0.004</v>
      </c>
      <c r="E36" s="67"/>
      <c r="F36" s="120">
        <f>IF(DATOS!$I$9&gt;0,(DATOS!$C$4*'TIEMPO P.P.'!$I$3)/240,0)</f>
        <v>0</v>
      </c>
      <c r="G36" s="115">
        <f>D36*F36</f>
        <v>0</v>
      </c>
    </row>
    <row r="37" spans="3:7" ht="15">
      <c r="C37" s="25" t="s">
        <v>78</v>
      </c>
      <c r="D37" s="67">
        <f>'TIEMPO P.P.'!$F$16/'TIEMPO P.P.'!$H$3</f>
        <v>0.024888888888888887</v>
      </c>
      <c r="E37" s="67"/>
      <c r="F37" s="120">
        <f>IF(DATOS!$J$9&gt;0,DATOS!$C$5*'TIEMPO P.P.'!$I$14/240,0)</f>
        <v>0</v>
      </c>
      <c r="G37" s="115">
        <f>F37*D37</f>
        <v>0</v>
      </c>
    </row>
    <row r="38" spans="3:7" ht="15">
      <c r="C38" s="41" t="s">
        <v>187</v>
      </c>
      <c r="D38" s="42"/>
      <c r="E38" s="42"/>
      <c r="F38" s="120"/>
      <c r="G38" s="115"/>
    </row>
    <row r="39" spans="3:7" ht="15">
      <c r="C39" s="27" t="s">
        <v>140</v>
      </c>
      <c r="D39" s="68">
        <f>D36</f>
        <v>0.004</v>
      </c>
      <c r="E39" s="68"/>
      <c r="F39" s="115">
        <f>IF(DATOS!$I$14&gt;0,DATOS!$C$7*'TIEMPO P.P.'!$I$3/8,0)</f>
        <v>1.875</v>
      </c>
      <c r="G39" s="115">
        <f>D39*F39</f>
        <v>0.0075</v>
      </c>
    </row>
    <row r="40" spans="3:7" ht="15.75" thickBot="1">
      <c r="C40" s="22" t="s">
        <v>78</v>
      </c>
      <c r="D40" s="71">
        <f>D37</f>
        <v>0.024888888888888887</v>
      </c>
      <c r="E40" s="71"/>
      <c r="F40" s="115">
        <f>IF(DATOS!$J$14&gt;0,DATOS!$C$8*'TIEMPO P.P.'!$I$14/8,0)</f>
        <v>1.875</v>
      </c>
      <c r="G40" s="115">
        <f>D40*F40</f>
        <v>0.04666666666666666</v>
      </c>
    </row>
    <row r="41" spans="3:7" ht="15.75" thickBot="1">
      <c r="C41" s="135" t="s">
        <v>93</v>
      </c>
      <c r="D41" s="38" t="s">
        <v>193</v>
      </c>
      <c r="E41" s="39"/>
      <c r="F41" s="122" t="s">
        <v>198</v>
      </c>
      <c r="G41" s="116">
        <f>SUM(G42:G44)</f>
        <v>0.06380153563161374</v>
      </c>
    </row>
    <row r="42" spans="3:7" ht="15">
      <c r="C42" s="25" t="s">
        <v>191</v>
      </c>
      <c r="D42" s="70">
        <f>('TIEMPO P.P.'!$E$5+'TIEMPO P.P.'!$E$16)/2</f>
        <v>0.05416666666666666</v>
      </c>
      <c r="E42" s="70"/>
      <c r="F42" s="120">
        <f>IF(DATOS!$F$51=0,DATOS!$F$20,DATOS!$F$51)</f>
        <v>1.1778745039682539</v>
      </c>
      <c r="G42" s="115">
        <f>D42*$F$20</f>
        <v>0.06380153563161374</v>
      </c>
    </row>
    <row r="43" spans="3:7" ht="15">
      <c r="C43" s="27" t="s">
        <v>192</v>
      </c>
      <c r="D43" s="69">
        <f>D42</f>
        <v>0.05416666666666666</v>
      </c>
      <c r="E43" s="69"/>
      <c r="F43" s="115">
        <f>DATOS!$F$65/ORDEN!$D$34</f>
        <v>0</v>
      </c>
      <c r="G43" s="115">
        <f>D43*$F$21</f>
        <v>0</v>
      </c>
    </row>
    <row r="44" spans="3:7" ht="15.75" thickBot="1">
      <c r="C44" s="27"/>
      <c r="D44" s="27"/>
      <c r="E44" s="27"/>
      <c r="F44" s="115"/>
      <c r="G44" s="115">
        <f aca="true" t="shared" si="2" ref="G44">D44*F44</f>
        <v>0</v>
      </c>
    </row>
    <row r="45" spans="3:7" ht="17.25" thickBot="1" thickTop="1">
      <c r="C45" s="28"/>
      <c r="D45" s="543" t="s">
        <v>94</v>
      </c>
      <c r="E45" s="544"/>
      <c r="F45" s="545"/>
      <c r="G45" s="117">
        <f>G28+G34+G41</f>
        <v>0.4395774022982804</v>
      </c>
    </row>
    <row r="46" ht="15.75" thickTop="1"/>
    <row r="49" spans="3:7" ht="19.5" thickBot="1">
      <c r="C49" s="546" t="str">
        <f>PLATOS!G10</f>
        <v>Rodajas de pan con 
mantequilla</v>
      </c>
      <c r="D49" s="546"/>
      <c r="E49" s="546"/>
      <c r="F49" s="546"/>
      <c r="G49" s="546"/>
    </row>
    <row r="50" spans="4:7" ht="15.75" thickBot="1">
      <c r="D50" s="31" t="s">
        <v>96</v>
      </c>
      <c r="E50" s="31"/>
      <c r="F50" s="119" t="s">
        <v>95</v>
      </c>
      <c r="G50" s="113" t="s">
        <v>97</v>
      </c>
    </row>
    <row r="51" spans="3:7" ht="15.75" thickBot="1">
      <c r="C51" s="547" t="s">
        <v>91</v>
      </c>
      <c r="D51" s="548"/>
      <c r="E51" s="548"/>
      <c r="F51" s="549"/>
      <c r="G51" s="114">
        <f>SUM(G52:G53)</f>
        <v>0.0721</v>
      </c>
    </row>
    <row r="52" spans="3:7" ht="15">
      <c r="C52" s="27" t="s">
        <v>407</v>
      </c>
      <c r="D52" s="155">
        <v>0.5</v>
      </c>
      <c r="E52" s="27" t="s">
        <v>283</v>
      </c>
      <c r="F52" s="115">
        <f>'LISTA DE PRODUCTOS'!G87</f>
        <v>0.12</v>
      </c>
      <c r="G52" s="115">
        <f aca="true" t="shared" si="3" ref="G52:G53">D52*F52</f>
        <v>0.06</v>
      </c>
    </row>
    <row r="53" spans="3:7" ht="15">
      <c r="C53" s="27" t="s">
        <v>408</v>
      </c>
      <c r="D53" s="27">
        <v>10</v>
      </c>
      <c r="E53" s="27" t="s">
        <v>284</v>
      </c>
      <c r="F53" s="115">
        <f>'LISTA DE PRODUCTOS'!G42</f>
        <v>0.0012100000000000001</v>
      </c>
      <c r="G53" s="115">
        <f t="shared" si="3"/>
        <v>0.012100000000000001</v>
      </c>
    </row>
    <row r="54" spans="3:7" ht="15.75" thickBot="1">
      <c r="C54" s="2"/>
      <c r="D54" s="2"/>
      <c r="E54" s="2"/>
      <c r="F54" s="136"/>
      <c r="G54" s="136"/>
    </row>
    <row r="55" spans="3:7" ht="15.75" thickBot="1">
      <c r="C55" s="135" t="s">
        <v>92</v>
      </c>
      <c r="D55" s="38" t="s">
        <v>185</v>
      </c>
      <c r="E55" s="39"/>
      <c r="F55" s="122" t="s">
        <v>184</v>
      </c>
      <c r="G55" s="116">
        <f>SUM(G56:G61)</f>
        <v>0.05416666666666666</v>
      </c>
    </row>
    <row r="56" spans="3:7" ht="15">
      <c r="C56" s="41" t="s">
        <v>186</v>
      </c>
      <c r="D56" s="40"/>
      <c r="E56" s="40"/>
      <c r="F56" s="120"/>
      <c r="G56" s="115"/>
    </row>
    <row r="57" spans="3:7" ht="15">
      <c r="C57" s="25" t="s">
        <v>140</v>
      </c>
      <c r="D57" s="67">
        <f>'TIEMPO P.P.'!$F$5/'TIEMPO P.P.'!$H$3</f>
        <v>0.004</v>
      </c>
      <c r="E57" s="67"/>
      <c r="F57" s="120">
        <f>IF(DATOS!$I$9&gt;0,(DATOS!$C$4*'TIEMPO P.P.'!$I$3)/240,0)</f>
        <v>0</v>
      </c>
      <c r="G57" s="115">
        <f>D57*F57</f>
        <v>0</v>
      </c>
    </row>
    <row r="58" spans="3:7" ht="15">
      <c r="C58" s="25" t="s">
        <v>78</v>
      </c>
      <c r="D58" s="67">
        <f>'TIEMPO P.P.'!$F$16/'TIEMPO P.P.'!$H$3</f>
        <v>0.024888888888888887</v>
      </c>
      <c r="E58" s="67"/>
      <c r="F58" s="120">
        <f>IF(DATOS!$J$9&gt;0,DATOS!$C$5*'TIEMPO P.P.'!$I$14/240,0)</f>
        <v>0</v>
      </c>
      <c r="G58" s="115">
        <f>F58*D58</f>
        <v>0</v>
      </c>
    </row>
    <row r="59" spans="3:7" ht="15">
      <c r="C59" s="41" t="s">
        <v>187</v>
      </c>
      <c r="D59" s="42"/>
      <c r="E59" s="42"/>
      <c r="F59" s="120"/>
      <c r="G59" s="115"/>
    </row>
    <row r="60" spans="3:7" ht="15">
      <c r="C60" s="27" t="s">
        <v>140</v>
      </c>
      <c r="D60" s="68">
        <f>D57</f>
        <v>0.004</v>
      </c>
      <c r="E60" s="68"/>
      <c r="F60" s="115">
        <f>IF(DATOS!$I$14&gt;0,DATOS!$C$7*'TIEMPO P.P.'!$I$3/8,0)</f>
        <v>1.875</v>
      </c>
      <c r="G60" s="115">
        <f>D60*F60</f>
        <v>0.0075</v>
      </c>
    </row>
    <row r="61" spans="3:7" ht="15.75" thickBot="1">
      <c r="C61" s="22" t="s">
        <v>78</v>
      </c>
      <c r="D61" s="71">
        <f>D58</f>
        <v>0.024888888888888887</v>
      </c>
      <c r="E61" s="71"/>
      <c r="F61" s="115">
        <f>IF(DATOS!$J$14&gt;0,DATOS!$C$8*'TIEMPO P.P.'!$I$14/8,0)</f>
        <v>1.875</v>
      </c>
      <c r="G61" s="115">
        <f>D61*F61</f>
        <v>0.04666666666666666</v>
      </c>
    </row>
    <row r="62" spans="3:7" ht="15.75" thickBot="1">
      <c r="C62" s="135" t="s">
        <v>93</v>
      </c>
      <c r="D62" s="38" t="s">
        <v>193</v>
      </c>
      <c r="E62" s="39"/>
      <c r="F62" s="122" t="s">
        <v>198</v>
      </c>
      <c r="G62" s="116">
        <f>SUM(G63:G65)</f>
        <v>0.06380153563161374</v>
      </c>
    </row>
    <row r="63" spans="3:7" ht="15">
      <c r="C63" s="25" t="s">
        <v>191</v>
      </c>
      <c r="D63" s="70">
        <f>('TIEMPO P.P.'!$E$5+'TIEMPO P.P.'!$E$16)/2</f>
        <v>0.05416666666666666</v>
      </c>
      <c r="E63" s="70"/>
      <c r="F63" s="120">
        <f>IF(DATOS!$F$51=0,DATOS!$F$20,DATOS!$F$51)</f>
        <v>1.1778745039682539</v>
      </c>
      <c r="G63" s="115">
        <f>D63*$F$20</f>
        <v>0.06380153563161374</v>
      </c>
    </row>
    <row r="64" spans="3:7" ht="15">
      <c r="C64" s="27" t="s">
        <v>192</v>
      </c>
      <c r="D64" s="69">
        <f>D63</f>
        <v>0.05416666666666666</v>
      </c>
      <c r="E64" s="69"/>
      <c r="F64" s="115">
        <f>DATOS!$F$65/ORDEN!$D$34</f>
        <v>0</v>
      </c>
      <c r="G64" s="115">
        <f>D64*$F$21</f>
        <v>0</v>
      </c>
    </row>
    <row r="65" spans="3:7" ht="15.75" thickBot="1">
      <c r="C65" s="27"/>
      <c r="D65" s="27"/>
      <c r="E65" s="27"/>
      <c r="F65" s="115"/>
      <c r="G65" s="115">
        <f aca="true" t="shared" si="4" ref="G65">D65*F65</f>
        <v>0</v>
      </c>
    </row>
    <row r="66" spans="3:7" ht="17.25" thickBot="1" thickTop="1">
      <c r="C66" s="28"/>
      <c r="D66" s="543" t="s">
        <v>94</v>
      </c>
      <c r="E66" s="544"/>
      <c r="F66" s="545"/>
      <c r="G66" s="117">
        <f>G51+G55+G62</f>
        <v>0.19006820229828042</v>
      </c>
    </row>
    <row r="67" ht="15.75" thickTop="1"/>
    <row r="69" spans="3:7" ht="19.5" thickBot="1">
      <c r="C69" s="546" t="str">
        <f>PLATOS!G11</f>
        <v>COSTO-ACOMPAÑAMIENTO'!C69</v>
      </c>
      <c r="D69" s="546"/>
      <c r="E69" s="546"/>
      <c r="F69" s="546"/>
      <c r="G69" s="546"/>
    </row>
    <row r="70" spans="4:7" ht="15.75" thickBot="1">
      <c r="D70" s="31" t="s">
        <v>96</v>
      </c>
      <c r="E70" s="31"/>
      <c r="F70" s="119" t="s">
        <v>95</v>
      </c>
      <c r="G70" s="113" t="s">
        <v>97</v>
      </c>
    </row>
    <row r="71" spans="3:7" ht="15.75" thickBot="1">
      <c r="C71" s="547" t="s">
        <v>91</v>
      </c>
      <c r="D71" s="548"/>
      <c r="E71" s="548"/>
      <c r="F71" s="549"/>
      <c r="G71" s="114">
        <f>SUM(G72:G78)</f>
        <v>0</v>
      </c>
    </row>
    <row r="72" spans="3:7" ht="15">
      <c r="C72" s="25"/>
      <c r="D72" s="25"/>
      <c r="E72" s="25"/>
      <c r="F72" s="120"/>
      <c r="G72" s="115">
        <f>D72*F72</f>
        <v>0</v>
      </c>
    </row>
    <row r="73" spans="3:7" ht="15">
      <c r="C73" s="27"/>
      <c r="D73" s="27"/>
      <c r="E73" s="27"/>
      <c r="F73" s="115"/>
      <c r="G73" s="115">
        <f aca="true" t="shared" si="5" ref="G73:G78">D73*F73</f>
        <v>0</v>
      </c>
    </row>
    <row r="74" spans="3:7" ht="15">
      <c r="C74" s="27"/>
      <c r="D74" s="27"/>
      <c r="E74" s="27"/>
      <c r="F74" s="115"/>
      <c r="G74" s="115">
        <f t="shared" si="5"/>
        <v>0</v>
      </c>
    </row>
    <row r="75" spans="3:7" ht="15">
      <c r="C75" s="27"/>
      <c r="D75" s="27"/>
      <c r="E75" s="27"/>
      <c r="F75" s="115"/>
      <c r="G75" s="115">
        <f t="shared" si="5"/>
        <v>0</v>
      </c>
    </row>
    <row r="76" spans="3:7" ht="15">
      <c r="C76" s="27"/>
      <c r="D76" s="27"/>
      <c r="E76" s="27"/>
      <c r="F76" s="115"/>
      <c r="G76" s="115">
        <f t="shared" si="5"/>
        <v>0</v>
      </c>
    </row>
    <row r="77" spans="3:7" ht="15">
      <c r="C77" s="27"/>
      <c r="D77" s="27"/>
      <c r="E77" s="27"/>
      <c r="F77" s="115"/>
      <c r="G77" s="115">
        <f t="shared" si="5"/>
        <v>0</v>
      </c>
    </row>
    <row r="78" spans="3:7" ht="15.75" thickBot="1">
      <c r="C78" s="22"/>
      <c r="D78" s="22"/>
      <c r="E78" s="22"/>
      <c r="F78" s="121"/>
      <c r="G78" s="115">
        <f t="shared" si="5"/>
        <v>0</v>
      </c>
    </row>
    <row r="79" spans="3:7" ht="15.75" thickBot="1">
      <c r="C79" s="135" t="s">
        <v>92</v>
      </c>
      <c r="D79" s="38" t="s">
        <v>185</v>
      </c>
      <c r="E79" s="39"/>
      <c r="F79" s="122" t="s">
        <v>184</v>
      </c>
      <c r="G79" s="116">
        <f>SUM(G80:G85)</f>
        <v>0.05416666666666666</v>
      </c>
    </row>
    <row r="80" spans="3:7" ht="15">
      <c r="C80" s="41" t="s">
        <v>186</v>
      </c>
      <c r="D80" s="40"/>
      <c r="E80" s="40"/>
      <c r="F80" s="120"/>
      <c r="G80" s="115"/>
    </row>
    <row r="81" spans="3:7" ht="15">
      <c r="C81" s="25" t="s">
        <v>140</v>
      </c>
      <c r="D81" s="67">
        <f>'TIEMPO P.P.'!$F$5/'TIEMPO P.P.'!$H$3</f>
        <v>0.004</v>
      </c>
      <c r="E81" s="67"/>
      <c r="F81" s="120">
        <f>IF(DATOS!$I$9&gt;0,(DATOS!$C$4*'TIEMPO P.P.'!$I$3)/240,0)</f>
        <v>0</v>
      </c>
      <c r="G81" s="115">
        <f>D81*F81</f>
        <v>0</v>
      </c>
    </row>
    <row r="82" spans="3:7" ht="15">
      <c r="C82" s="25" t="s">
        <v>78</v>
      </c>
      <c r="D82" s="67">
        <f>'TIEMPO P.P.'!$F$16/'TIEMPO P.P.'!$H$3</f>
        <v>0.024888888888888887</v>
      </c>
      <c r="E82" s="67"/>
      <c r="F82" s="120">
        <f>IF(DATOS!$J$9&gt;0,DATOS!$C$5*'TIEMPO P.P.'!$I$14/240,0)</f>
        <v>0</v>
      </c>
      <c r="G82" s="115">
        <f>F82*D82</f>
        <v>0</v>
      </c>
    </row>
    <row r="83" spans="3:7" ht="15">
      <c r="C83" s="41" t="s">
        <v>187</v>
      </c>
      <c r="D83" s="42"/>
      <c r="E83" s="42"/>
      <c r="F83" s="120"/>
      <c r="G83" s="115"/>
    </row>
    <row r="84" spans="3:7" ht="15">
      <c r="C84" s="27" t="s">
        <v>140</v>
      </c>
      <c r="D84" s="68">
        <f>D81</f>
        <v>0.004</v>
      </c>
      <c r="E84" s="68"/>
      <c r="F84" s="115">
        <f>IF(DATOS!$I$14&gt;0,DATOS!$C$7*'TIEMPO P.P.'!$I$3/8,0)</f>
        <v>1.875</v>
      </c>
      <c r="G84" s="115">
        <f>D84*F84</f>
        <v>0.0075</v>
      </c>
    </row>
    <row r="85" spans="3:7" ht="15.75" thickBot="1">
      <c r="C85" s="22" t="s">
        <v>78</v>
      </c>
      <c r="D85" s="71">
        <f>D82</f>
        <v>0.024888888888888887</v>
      </c>
      <c r="E85" s="71"/>
      <c r="F85" s="115">
        <f>IF(DATOS!$J$14&gt;0,DATOS!$C$8*'TIEMPO P.P.'!$I$14/8,0)</f>
        <v>1.875</v>
      </c>
      <c r="G85" s="115">
        <f>D85*F85</f>
        <v>0.04666666666666666</v>
      </c>
    </row>
    <row r="86" spans="3:7" ht="15.75" thickBot="1">
      <c r="C86" s="135" t="s">
        <v>93</v>
      </c>
      <c r="D86" s="38" t="s">
        <v>193</v>
      </c>
      <c r="E86" s="39"/>
      <c r="F86" s="122" t="s">
        <v>198</v>
      </c>
      <c r="G86" s="116">
        <f>SUM(G87:G89)</f>
        <v>0.06380153563161374</v>
      </c>
    </row>
    <row r="87" spans="3:7" ht="15">
      <c r="C87" s="25" t="s">
        <v>191</v>
      </c>
      <c r="D87" s="70">
        <f>('TIEMPO P.P.'!$E$5+'TIEMPO P.P.'!$E$16)/2</f>
        <v>0.05416666666666666</v>
      </c>
      <c r="E87" s="70"/>
      <c r="F87" s="120">
        <f>IF(DATOS!$F$51=0,DATOS!$F$20,DATOS!$F$51)</f>
        <v>1.1778745039682539</v>
      </c>
      <c r="G87" s="115">
        <f>D87*$F$20</f>
        <v>0.06380153563161374</v>
      </c>
    </row>
    <row r="88" spans="3:7" ht="15">
      <c r="C88" s="27" t="s">
        <v>192</v>
      </c>
      <c r="D88" s="69">
        <f>D87</f>
        <v>0.05416666666666666</v>
      </c>
      <c r="E88" s="69"/>
      <c r="F88" s="115">
        <f>DATOS!$F$65/ORDEN!$D$34</f>
        <v>0</v>
      </c>
      <c r="G88" s="115">
        <f>D88*$F$21</f>
        <v>0</v>
      </c>
    </row>
    <row r="89" spans="3:7" ht="15.75" thickBot="1">
      <c r="C89" s="27"/>
      <c r="D89" s="27"/>
      <c r="E89" s="27"/>
      <c r="F89" s="115"/>
      <c r="G89" s="115">
        <f aca="true" t="shared" si="6" ref="G89">D89*F89</f>
        <v>0</v>
      </c>
    </row>
    <row r="90" spans="3:7" ht="17.25" thickBot="1" thickTop="1">
      <c r="C90" s="28"/>
      <c r="D90" s="543" t="s">
        <v>94</v>
      </c>
      <c r="E90" s="544"/>
      <c r="F90" s="545"/>
      <c r="G90" s="117">
        <f>G71+G79+G86</f>
        <v>0.1179682022982804</v>
      </c>
    </row>
    <row r="91" ht="15.75" thickTop="1"/>
    <row r="94" spans="3:7" ht="19.5" thickBot="1">
      <c r="C94" s="546" t="str">
        <f>PLATOS!G12</f>
        <v>COSTO-ACOMPAÑAMIENTO'!C91</v>
      </c>
      <c r="D94" s="546"/>
      <c r="E94" s="546"/>
      <c r="F94" s="546"/>
      <c r="G94" s="546"/>
    </row>
    <row r="95" spans="4:7" ht="15.75" thickBot="1">
      <c r="D95" s="31" t="s">
        <v>96</v>
      </c>
      <c r="E95" s="31"/>
      <c r="F95" s="119" t="s">
        <v>95</v>
      </c>
      <c r="G95" s="113" t="s">
        <v>97</v>
      </c>
    </row>
    <row r="96" spans="3:7" ht="15.75" thickBot="1">
      <c r="C96" s="547" t="s">
        <v>91</v>
      </c>
      <c r="D96" s="548"/>
      <c r="E96" s="548"/>
      <c r="F96" s="549"/>
      <c r="G96" s="114">
        <f>SUM(G97:G103)</f>
        <v>0</v>
      </c>
    </row>
    <row r="97" spans="3:7" ht="15">
      <c r="C97" s="25"/>
      <c r="D97" s="25"/>
      <c r="E97" s="25"/>
      <c r="F97" s="120"/>
      <c r="G97" s="115">
        <f>D97*F97</f>
        <v>0</v>
      </c>
    </row>
    <row r="98" spans="3:7" ht="15">
      <c r="C98" s="27"/>
      <c r="D98" s="27"/>
      <c r="E98" s="27"/>
      <c r="F98" s="115"/>
      <c r="G98" s="115">
        <f aca="true" t="shared" si="7" ref="G98:G103">D98*F98</f>
        <v>0</v>
      </c>
    </row>
    <row r="99" spans="3:7" ht="15">
      <c r="C99" s="27"/>
      <c r="D99" s="27"/>
      <c r="E99" s="27"/>
      <c r="F99" s="115"/>
      <c r="G99" s="115">
        <f t="shared" si="7"/>
        <v>0</v>
      </c>
    </row>
    <row r="100" spans="3:7" ht="15">
      <c r="C100" s="27"/>
      <c r="D100" s="27"/>
      <c r="E100" s="27"/>
      <c r="F100" s="115"/>
      <c r="G100" s="115">
        <f t="shared" si="7"/>
        <v>0</v>
      </c>
    </row>
    <row r="101" spans="3:7" ht="15">
      <c r="C101" s="27"/>
      <c r="D101" s="27"/>
      <c r="E101" s="27"/>
      <c r="F101" s="115"/>
      <c r="G101" s="115">
        <f t="shared" si="7"/>
        <v>0</v>
      </c>
    </row>
    <row r="102" spans="3:7" ht="15">
      <c r="C102" s="27"/>
      <c r="D102" s="27"/>
      <c r="E102" s="27"/>
      <c r="F102" s="115"/>
      <c r="G102" s="115">
        <f t="shared" si="7"/>
        <v>0</v>
      </c>
    </row>
    <row r="103" spans="3:7" ht="15.75" thickBot="1">
      <c r="C103" s="22"/>
      <c r="D103" s="22"/>
      <c r="E103" s="22"/>
      <c r="F103" s="121"/>
      <c r="G103" s="115">
        <f t="shared" si="7"/>
        <v>0</v>
      </c>
    </row>
    <row r="104" spans="3:7" ht="15.75" thickBot="1">
      <c r="C104" s="135" t="s">
        <v>92</v>
      </c>
      <c r="D104" s="38" t="s">
        <v>185</v>
      </c>
      <c r="E104" s="39"/>
      <c r="F104" s="122" t="s">
        <v>184</v>
      </c>
      <c r="G104" s="116">
        <f>SUM(G105:G110)</f>
        <v>0.05416666666666666</v>
      </c>
    </row>
    <row r="105" spans="3:7" ht="15">
      <c r="C105" s="41" t="s">
        <v>186</v>
      </c>
      <c r="D105" s="40"/>
      <c r="E105" s="40"/>
      <c r="F105" s="120"/>
      <c r="G105" s="115"/>
    </row>
    <row r="106" spans="3:7" ht="15">
      <c r="C106" s="25" t="s">
        <v>140</v>
      </c>
      <c r="D106" s="67">
        <f>'TIEMPO P.P.'!$F$5/'TIEMPO P.P.'!$H$3</f>
        <v>0.004</v>
      </c>
      <c r="E106" s="67"/>
      <c r="F106" s="120">
        <f>IF(DATOS!$I$9&gt;0,(DATOS!$C$4*'TIEMPO P.P.'!$I$3)/240,0)</f>
        <v>0</v>
      </c>
      <c r="G106" s="115">
        <f>D106*F106</f>
        <v>0</v>
      </c>
    </row>
    <row r="107" spans="3:7" ht="15">
      <c r="C107" s="25" t="s">
        <v>78</v>
      </c>
      <c r="D107" s="67">
        <f>'TIEMPO P.P.'!$F$16/'TIEMPO P.P.'!$H$3</f>
        <v>0.024888888888888887</v>
      </c>
      <c r="E107" s="67"/>
      <c r="F107" s="120">
        <f>IF(DATOS!$J$9&gt;0,DATOS!$C$5*'TIEMPO P.P.'!$I$14/240,0)</f>
        <v>0</v>
      </c>
      <c r="G107" s="115">
        <f>F107*D107</f>
        <v>0</v>
      </c>
    </row>
    <row r="108" spans="3:7" ht="15">
      <c r="C108" s="41" t="s">
        <v>187</v>
      </c>
      <c r="D108" s="42"/>
      <c r="E108" s="42"/>
      <c r="F108" s="120"/>
      <c r="G108" s="115"/>
    </row>
    <row r="109" spans="3:7" ht="15">
      <c r="C109" s="27" t="s">
        <v>140</v>
      </c>
      <c r="D109" s="68">
        <f>D106</f>
        <v>0.004</v>
      </c>
      <c r="E109" s="68"/>
      <c r="F109" s="115">
        <f>IF(DATOS!$I$14&gt;0,DATOS!$C$7*'TIEMPO P.P.'!$I$3/8,0)</f>
        <v>1.875</v>
      </c>
      <c r="G109" s="115">
        <f>D109*F109</f>
        <v>0.0075</v>
      </c>
    </row>
    <row r="110" spans="3:7" ht="15.75" thickBot="1">
      <c r="C110" s="22" t="s">
        <v>78</v>
      </c>
      <c r="D110" s="71">
        <f>D107</f>
        <v>0.024888888888888887</v>
      </c>
      <c r="E110" s="71"/>
      <c r="F110" s="115">
        <f>IF(DATOS!$J$14&gt;0,DATOS!$C$8*'TIEMPO P.P.'!$I$14/8,0)</f>
        <v>1.875</v>
      </c>
      <c r="G110" s="115">
        <f>D110*F110</f>
        <v>0.04666666666666666</v>
      </c>
    </row>
    <row r="111" spans="3:7" ht="15.75" thickBot="1">
      <c r="C111" s="135" t="s">
        <v>93</v>
      </c>
      <c r="D111" s="38" t="s">
        <v>193</v>
      </c>
      <c r="E111" s="39"/>
      <c r="F111" s="122" t="s">
        <v>198</v>
      </c>
      <c r="G111" s="116">
        <f>SUM(G112:G114)</f>
        <v>0.06380153563161374</v>
      </c>
    </row>
    <row r="112" spans="3:7" ht="15">
      <c r="C112" s="25" t="s">
        <v>191</v>
      </c>
      <c r="D112" s="70">
        <f>('TIEMPO P.P.'!$E$5+'TIEMPO P.P.'!$E$16)/2</f>
        <v>0.05416666666666666</v>
      </c>
      <c r="E112" s="70"/>
      <c r="F112" s="120">
        <f>IF(DATOS!$F$51=0,DATOS!$F$20,DATOS!$F$51)</f>
        <v>1.1778745039682539</v>
      </c>
      <c r="G112" s="115">
        <f>D112*$F$20</f>
        <v>0.06380153563161374</v>
      </c>
    </row>
    <row r="113" spans="3:7" ht="15">
      <c r="C113" s="27" t="s">
        <v>192</v>
      </c>
      <c r="D113" s="69">
        <f>D112</f>
        <v>0.05416666666666666</v>
      </c>
      <c r="E113" s="69"/>
      <c r="F113" s="115">
        <f>DATOS!$F$65/ORDEN!$D$34</f>
        <v>0</v>
      </c>
      <c r="G113" s="115">
        <f>D113*$F$21</f>
        <v>0</v>
      </c>
    </row>
    <row r="114" spans="3:7" ht="15.75" thickBot="1">
      <c r="C114" s="27"/>
      <c r="D114" s="27"/>
      <c r="E114" s="27"/>
      <c r="F114" s="115"/>
      <c r="G114" s="115">
        <f aca="true" t="shared" si="8" ref="G114">D114*F114</f>
        <v>0</v>
      </c>
    </row>
    <row r="115" spans="3:7" ht="17.25" thickBot="1" thickTop="1">
      <c r="C115" s="28"/>
      <c r="D115" s="543" t="s">
        <v>94</v>
      </c>
      <c r="E115" s="544"/>
      <c r="F115" s="545"/>
      <c r="G115" s="117">
        <f>G96+G104+G111</f>
        <v>0.1179682022982804</v>
      </c>
    </row>
    <row r="116" ht="15.75" thickTop="1"/>
    <row r="118" spans="3:7" ht="19.5" thickBot="1">
      <c r="C118" s="546" t="str">
        <f>PLATOS!G13</f>
        <v>COSTO-ACOMPAÑAMIENTO'!C112</v>
      </c>
      <c r="D118" s="546"/>
      <c r="E118" s="546"/>
      <c r="F118" s="546"/>
      <c r="G118" s="546"/>
    </row>
    <row r="119" spans="4:7" ht="15.75" thickBot="1">
      <c r="D119" s="31" t="s">
        <v>96</v>
      </c>
      <c r="E119" s="31"/>
      <c r="F119" s="119" t="s">
        <v>95</v>
      </c>
      <c r="G119" s="113" t="s">
        <v>97</v>
      </c>
    </row>
    <row r="120" spans="3:7" ht="15.75" thickBot="1">
      <c r="C120" s="547" t="s">
        <v>91</v>
      </c>
      <c r="D120" s="548"/>
      <c r="E120" s="548"/>
      <c r="F120" s="549"/>
      <c r="G120" s="114">
        <f>SUM(G121:G127)</f>
        <v>0</v>
      </c>
    </row>
    <row r="121" spans="3:7" ht="15">
      <c r="C121" s="25"/>
      <c r="D121" s="25"/>
      <c r="E121" s="25"/>
      <c r="F121" s="120"/>
      <c r="G121" s="115">
        <f>D121*F121</f>
        <v>0</v>
      </c>
    </row>
    <row r="122" spans="3:7" ht="15">
      <c r="C122" s="27"/>
      <c r="D122" s="27"/>
      <c r="E122" s="27"/>
      <c r="F122" s="115"/>
      <c r="G122" s="115">
        <f aca="true" t="shared" si="9" ref="G122:G127">D122*F122</f>
        <v>0</v>
      </c>
    </row>
    <row r="123" spans="3:7" ht="15">
      <c r="C123" s="27"/>
      <c r="D123" s="27"/>
      <c r="E123" s="27"/>
      <c r="F123" s="115"/>
      <c r="G123" s="115">
        <f t="shared" si="9"/>
        <v>0</v>
      </c>
    </row>
    <row r="124" spans="3:7" ht="15">
      <c r="C124" s="27"/>
      <c r="D124" s="27"/>
      <c r="E124" s="27"/>
      <c r="F124" s="115"/>
      <c r="G124" s="115">
        <f t="shared" si="9"/>
        <v>0</v>
      </c>
    </row>
    <row r="125" spans="3:7" ht="15">
      <c r="C125" s="27"/>
      <c r="D125" s="27"/>
      <c r="E125" s="27"/>
      <c r="F125" s="115"/>
      <c r="G125" s="115">
        <f t="shared" si="9"/>
        <v>0</v>
      </c>
    </row>
    <row r="126" spans="3:7" ht="15">
      <c r="C126" s="27"/>
      <c r="D126" s="27"/>
      <c r="E126" s="27"/>
      <c r="F126" s="115"/>
      <c r="G126" s="115">
        <f t="shared" si="9"/>
        <v>0</v>
      </c>
    </row>
    <row r="127" spans="3:7" ht="15.75" thickBot="1">
      <c r="C127" s="22"/>
      <c r="D127" s="22"/>
      <c r="E127" s="22"/>
      <c r="F127" s="121"/>
      <c r="G127" s="115">
        <f t="shared" si="9"/>
        <v>0</v>
      </c>
    </row>
    <row r="128" spans="3:7" ht="15.75" thickBot="1">
      <c r="C128" s="135" t="s">
        <v>92</v>
      </c>
      <c r="D128" s="38" t="s">
        <v>185</v>
      </c>
      <c r="E128" s="39"/>
      <c r="F128" s="122" t="s">
        <v>184</v>
      </c>
      <c r="G128" s="116">
        <f>SUM(G129:G134)</f>
        <v>0.05416666666666666</v>
      </c>
    </row>
    <row r="129" spans="3:7" ht="15">
      <c r="C129" s="41" t="s">
        <v>186</v>
      </c>
      <c r="D129" s="40"/>
      <c r="E129" s="40"/>
      <c r="F129" s="120"/>
      <c r="G129" s="115"/>
    </row>
    <row r="130" spans="3:7" ht="15">
      <c r="C130" s="25" t="s">
        <v>140</v>
      </c>
      <c r="D130" s="67">
        <f>'TIEMPO P.P.'!$F$5/'TIEMPO P.P.'!$H$3</f>
        <v>0.004</v>
      </c>
      <c r="E130" s="67"/>
      <c r="F130" s="120">
        <f>IF(DATOS!$I$9&gt;0,(DATOS!$C$4*'TIEMPO P.P.'!$I$3)/240,0)</f>
        <v>0</v>
      </c>
      <c r="G130" s="115">
        <f>D130*F130</f>
        <v>0</v>
      </c>
    </row>
    <row r="131" spans="3:7" ht="15">
      <c r="C131" s="25" t="s">
        <v>78</v>
      </c>
      <c r="D131" s="67">
        <f>'TIEMPO P.P.'!$F$16/'TIEMPO P.P.'!$H$3</f>
        <v>0.024888888888888887</v>
      </c>
      <c r="E131" s="67"/>
      <c r="F131" s="120">
        <f>IF(DATOS!$J$9&gt;0,DATOS!$C$5*'TIEMPO P.P.'!$I$14/240,0)</f>
        <v>0</v>
      </c>
      <c r="G131" s="115">
        <f>F131*D131</f>
        <v>0</v>
      </c>
    </row>
    <row r="132" spans="3:7" ht="15">
      <c r="C132" s="41" t="s">
        <v>187</v>
      </c>
      <c r="D132" s="42"/>
      <c r="E132" s="42"/>
      <c r="F132" s="120"/>
      <c r="G132" s="115"/>
    </row>
    <row r="133" spans="3:7" ht="15">
      <c r="C133" s="27" t="s">
        <v>140</v>
      </c>
      <c r="D133" s="68">
        <f>D130</f>
        <v>0.004</v>
      </c>
      <c r="E133" s="68"/>
      <c r="F133" s="115">
        <f>IF(DATOS!$I$14&gt;0,DATOS!$C$7*'TIEMPO P.P.'!$I$3/8,0)</f>
        <v>1.875</v>
      </c>
      <c r="G133" s="115">
        <f>D133*F133</f>
        <v>0.0075</v>
      </c>
    </row>
    <row r="134" spans="3:7" ht="15.75" thickBot="1">
      <c r="C134" s="22" t="s">
        <v>78</v>
      </c>
      <c r="D134" s="71">
        <f>D131</f>
        <v>0.024888888888888887</v>
      </c>
      <c r="E134" s="71"/>
      <c r="F134" s="115">
        <f>IF(DATOS!$J$14&gt;0,DATOS!$C$8*'TIEMPO P.P.'!$I$14/8,0)</f>
        <v>1.875</v>
      </c>
      <c r="G134" s="115">
        <f>D134*F134</f>
        <v>0.04666666666666666</v>
      </c>
    </row>
    <row r="135" spans="3:7" ht="15.75" thickBot="1">
      <c r="C135" s="135" t="s">
        <v>93</v>
      </c>
      <c r="D135" s="38" t="s">
        <v>193</v>
      </c>
      <c r="E135" s="39"/>
      <c r="F135" s="122" t="s">
        <v>198</v>
      </c>
      <c r="G135" s="116">
        <f>SUM(G136:G138)</f>
        <v>0.06380153563161374</v>
      </c>
    </row>
    <row r="136" spans="3:7" ht="15">
      <c r="C136" s="25" t="s">
        <v>191</v>
      </c>
      <c r="D136" s="70">
        <f>('TIEMPO P.P.'!$E$5+'TIEMPO P.P.'!$E$16)/2</f>
        <v>0.05416666666666666</v>
      </c>
      <c r="E136" s="70"/>
      <c r="F136" s="120">
        <f>IF(DATOS!$F$51=0,DATOS!$F$20,DATOS!$F$51)</f>
        <v>1.1778745039682539</v>
      </c>
      <c r="G136" s="115">
        <f>D136*$F$20</f>
        <v>0.06380153563161374</v>
      </c>
    </row>
    <row r="137" spans="3:7" ht="15">
      <c r="C137" s="27" t="s">
        <v>192</v>
      </c>
      <c r="D137" s="69">
        <f>D136</f>
        <v>0.05416666666666666</v>
      </c>
      <c r="E137" s="69"/>
      <c r="F137" s="115">
        <f>DATOS!$F$65/ORDEN!$D$34</f>
        <v>0</v>
      </c>
      <c r="G137" s="115">
        <f>D137*$F$21</f>
        <v>0</v>
      </c>
    </row>
    <row r="138" spans="3:7" ht="15.75" thickBot="1">
      <c r="C138" s="27"/>
      <c r="D138" s="27"/>
      <c r="E138" s="27"/>
      <c r="F138" s="115"/>
      <c r="G138" s="115">
        <f aca="true" t="shared" si="10" ref="G138">D138*F138</f>
        <v>0</v>
      </c>
    </row>
    <row r="139" spans="3:7" ht="17.25" thickBot="1" thickTop="1">
      <c r="C139" s="28"/>
      <c r="D139" s="543" t="s">
        <v>94</v>
      </c>
      <c r="E139" s="544"/>
      <c r="F139" s="545"/>
      <c r="G139" s="117">
        <f>G120+G128+G135</f>
        <v>0.1179682022982804</v>
      </c>
    </row>
    <row r="140" ht="15.75" thickTop="1"/>
    <row r="143" spans="3:7" ht="19.5" thickBot="1">
      <c r="C143" s="546" t="str">
        <f>PLATOS!G14</f>
        <v>COSTO-ACOMPAÑAMIENTO'!C134</v>
      </c>
      <c r="D143" s="546"/>
      <c r="E143" s="546"/>
      <c r="F143" s="546"/>
      <c r="G143" s="546"/>
    </row>
    <row r="144" spans="4:7" ht="15.75" thickBot="1">
      <c r="D144" s="31" t="s">
        <v>96</v>
      </c>
      <c r="E144" s="31"/>
      <c r="F144" s="119" t="s">
        <v>95</v>
      </c>
      <c r="G144" s="113" t="s">
        <v>97</v>
      </c>
    </row>
    <row r="145" spans="3:7" ht="15.75" thickBot="1">
      <c r="C145" s="547" t="s">
        <v>91</v>
      </c>
      <c r="D145" s="548"/>
      <c r="E145" s="548"/>
      <c r="F145" s="549"/>
      <c r="G145" s="114">
        <f>SUM(G146:G152)</f>
        <v>0</v>
      </c>
    </row>
    <row r="146" spans="3:7" ht="15">
      <c r="C146" s="25"/>
      <c r="D146" s="25"/>
      <c r="E146" s="25"/>
      <c r="F146" s="120"/>
      <c r="G146" s="115">
        <f>D146*F146</f>
        <v>0</v>
      </c>
    </row>
    <row r="147" spans="3:7" ht="15">
      <c r="C147" s="27"/>
      <c r="D147" s="27"/>
      <c r="E147" s="27"/>
      <c r="F147" s="115"/>
      <c r="G147" s="115">
        <f aca="true" t="shared" si="11" ref="G147:G152">D147*F147</f>
        <v>0</v>
      </c>
    </row>
    <row r="148" spans="3:7" ht="15">
      <c r="C148" s="27"/>
      <c r="D148" s="27"/>
      <c r="E148" s="27"/>
      <c r="F148" s="115"/>
      <c r="G148" s="115">
        <f t="shared" si="11"/>
        <v>0</v>
      </c>
    </row>
    <row r="149" spans="3:7" ht="15">
      <c r="C149" s="27"/>
      <c r="D149" s="27"/>
      <c r="E149" s="27"/>
      <c r="F149" s="115"/>
      <c r="G149" s="115">
        <f t="shared" si="11"/>
        <v>0</v>
      </c>
    </row>
    <row r="150" spans="3:7" ht="15">
      <c r="C150" s="27"/>
      <c r="D150" s="27"/>
      <c r="E150" s="27"/>
      <c r="F150" s="115"/>
      <c r="G150" s="115">
        <f t="shared" si="11"/>
        <v>0</v>
      </c>
    </row>
    <row r="151" spans="3:7" ht="15">
      <c r="C151" s="27"/>
      <c r="D151" s="27"/>
      <c r="E151" s="27"/>
      <c r="F151" s="115"/>
      <c r="G151" s="115">
        <f t="shared" si="11"/>
        <v>0</v>
      </c>
    </row>
    <row r="152" spans="3:7" ht="15.75" thickBot="1">
      <c r="C152" s="22"/>
      <c r="D152" s="22"/>
      <c r="E152" s="22"/>
      <c r="F152" s="121"/>
      <c r="G152" s="115">
        <f t="shared" si="11"/>
        <v>0</v>
      </c>
    </row>
    <row r="153" spans="3:7" ht="15.75" thickBot="1">
      <c r="C153" s="135" t="s">
        <v>92</v>
      </c>
      <c r="D153" s="38" t="s">
        <v>185</v>
      </c>
      <c r="E153" s="39"/>
      <c r="F153" s="122" t="s">
        <v>184</v>
      </c>
      <c r="G153" s="116">
        <f>SUM(G154:G159)</f>
        <v>0.05416666666666666</v>
      </c>
    </row>
    <row r="154" spans="3:7" ht="15">
      <c r="C154" s="41" t="s">
        <v>186</v>
      </c>
      <c r="D154" s="40"/>
      <c r="E154" s="40"/>
      <c r="F154" s="120"/>
      <c r="G154" s="115"/>
    </row>
    <row r="155" spans="3:7" ht="15">
      <c r="C155" s="25" t="s">
        <v>140</v>
      </c>
      <c r="D155" s="67">
        <f>'TIEMPO P.P.'!$F$5/'TIEMPO P.P.'!$H$3</f>
        <v>0.004</v>
      </c>
      <c r="E155" s="67"/>
      <c r="F155" s="120">
        <f>IF(DATOS!$I$9&gt;0,(DATOS!$C$4*'TIEMPO P.P.'!$I$3)/240,0)</f>
        <v>0</v>
      </c>
      <c r="G155" s="115">
        <f>D155*F155</f>
        <v>0</v>
      </c>
    </row>
    <row r="156" spans="3:7" ht="15">
      <c r="C156" s="25" t="s">
        <v>78</v>
      </c>
      <c r="D156" s="67">
        <f>'TIEMPO P.P.'!$F$16/'TIEMPO P.P.'!$H$3</f>
        <v>0.024888888888888887</v>
      </c>
      <c r="E156" s="67"/>
      <c r="F156" s="120">
        <f>IF(DATOS!$J$9&gt;0,DATOS!$C$5*'TIEMPO P.P.'!$I$14/240,0)</f>
        <v>0</v>
      </c>
      <c r="G156" s="115">
        <f>F156*D156</f>
        <v>0</v>
      </c>
    </row>
    <row r="157" spans="3:7" ht="15">
      <c r="C157" s="41" t="s">
        <v>187</v>
      </c>
      <c r="D157" s="42"/>
      <c r="E157" s="42"/>
      <c r="F157" s="120"/>
      <c r="G157" s="115"/>
    </row>
    <row r="158" spans="3:7" ht="15">
      <c r="C158" s="27" t="s">
        <v>140</v>
      </c>
      <c r="D158" s="68">
        <f>D155</f>
        <v>0.004</v>
      </c>
      <c r="E158" s="68"/>
      <c r="F158" s="115">
        <f>IF(DATOS!$I$14&gt;0,DATOS!$C$7*'TIEMPO P.P.'!$I$3/8,0)</f>
        <v>1.875</v>
      </c>
      <c r="G158" s="115">
        <f>D158*F158</f>
        <v>0.0075</v>
      </c>
    </row>
    <row r="159" spans="3:7" ht="15.75" thickBot="1">
      <c r="C159" s="22" t="s">
        <v>78</v>
      </c>
      <c r="D159" s="71">
        <f>D156</f>
        <v>0.024888888888888887</v>
      </c>
      <c r="E159" s="71"/>
      <c r="F159" s="115">
        <f>IF(DATOS!$J$14&gt;0,DATOS!$C$8*'TIEMPO P.P.'!$I$14/8,0)</f>
        <v>1.875</v>
      </c>
      <c r="G159" s="115">
        <f>D159*F159</f>
        <v>0.04666666666666666</v>
      </c>
    </row>
    <row r="160" spans="3:7" ht="15.75" thickBot="1">
      <c r="C160" s="135" t="s">
        <v>93</v>
      </c>
      <c r="D160" s="38" t="s">
        <v>193</v>
      </c>
      <c r="E160" s="39"/>
      <c r="F160" s="122" t="s">
        <v>198</v>
      </c>
      <c r="G160" s="116">
        <f>SUM(G161:G163)</f>
        <v>0.06380153563161374</v>
      </c>
    </row>
    <row r="161" spans="3:7" ht="15">
      <c r="C161" s="25" t="s">
        <v>191</v>
      </c>
      <c r="D161" s="70">
        <f>('TIEMPO P.P.'!$E$5+'TIEMPO P.P.'!$E$16)/2</f>
        <v>0.05416666666666666</v>
      </c>
      <c r="E161" s="70"/>
      <c r="F161" s="120">
        <f>IF(DATOS!$F$51=0,DATOS!$F$20,DATOS!$F$51)</f>
        <v>1.1778745039682539</v>
      </c>
      <c r="G161" s="115">
        <f>D161*$F$20</f>
        <v>0.06380153563161374</v>
      </c>
    </row>
    <row r="162" spans="3:7" ht="15">
      <c r="C162" s="27" t="s">
        <v>192</v>
      </c>
      <c r="D162" s="69">
        <f>D161</f>
        <v>0.05416666666666666</v>
      </c>
      <c r="E162" s="69"/>
      <c r="F162" s="115">
        <f>DATOS!$F$65/ORDEN!$D$34</f>
        <v>0</v>
      </c>
      <c r="G162" s="115">
        <f>D162*$F$21</f>
        <v>0</v>
      </c>
    </row>
    <row r="163" spans="3:7" ht="15.75" thickBot="1">
      <c r="C163" s="27"/>
      <c r="D163" s="27"/>
      <c r="E163" s="27"/>
      <c r="F163" s="115"/>
      <c r="G163" s="115">
        <f aca="true" t="shared" si="12" ref="G163">D163*F163</f>
        <v>0</v>
      </c>
    </row>
    <row r="164" spans="3:7" ht="17.25" thickBot="1" thickTop="1">
      <c r="C164" s="28"/>
      <c r="D164" s="543" t="s">
        <v>94</v>
      </c>
      <c r="E164" s="544"/>
      <c r="F164" s="545"/>
      <c r="G164" s="117">
        <f>G145+G153+G160</f>
        <v>0.1179682022982804</v>
      </c>
    </row>
    <row r="165" ht="15.75" thickTop="1"/>
    <row r="167" spans="3:7" ht="19.5" thickBot="1">
      <c r="C167" s="546" t="str">
        <f>PLATOS!G15</f>
        <v>COSTO-ACOMPAÑAMIENTO'!C155</v>
      </c>
      <c r="D167" s="546"/>
      <c r="E167" s="546"/>
      <c r="F167" s="546"/>
      <c r="G167" s="546"/>
    </row>
    <row r="168" spans="4:7" ht="15.75" thickBot="1">
      <c r="D168" s="31" t="s">
        <v>96</v>
      </c>
      <c r="E168" s="31"/>
      <c r="F168" s="119" t="s">
        <v>95</v>
      </c>
      <c r="G168" s="113" t="s">
        <v>97</v>
      </c>
    </row>
    <row r="169" spans="3:7" ht="15.75" thickBot="1">
      <c r="C169" s="547" t="s">
        <v>91</v>
      </c>
      <c r="D169" s="548"/>
      <c r="E169" s="548"/>
      <c r="F169" s="549"/>
      <c r="G169" s="114">
        <f>SUM(G170:G176)</f>
        <v>0</v>
      </c>
    </row>
    <row r="170" spans="3:7" ht="15">
      <c r="C170" s="25"/>
      <c r="D170" s="25"/>
      <c r="E170" s="25"/>
      <c r="F170" s="120"/>
      <c r="G170" s="115">
        <f>D170*F170</f>
        <v>0</v>
      </c>
    </row>
    <row r="171" spans="3:7" ht="15">
      <c r="C171" s="27"/>
      <c r="D171" s="27"/>
      <c r="E171" s="27"/>
      <c r="F171" s="115"/>
      <c r="G171" s="115">
        <f aca="true" t="shared" si="13" ref="G171:G176">D171*F171</f>
        <v>0</v>
      </c>
    </row>
    <row r="172" spans="3:7" ht="15">
      <c r="C172" s="27"/>
      <c r="D172" s="27"/>
      <c r="E172" s="27"/>
      <c r="F172" s="115"/>
      <c r="G172" s="115">
        <f t="shared" si="13"/>
        <v>0</v>
      </c>
    </row>
    <row r="173" spans="3:7" ht="15">
      <c r="C173" s="27"/>
      <c r="D173" s="27"/>
      <c r="E173" s="27"/>
      <c r="F173" s="115"/>
      <c r="G173" s="115">
        <f t="shared" si="13"/>
        <v>0</v>
      </c>
    </row>
    <row r="174" spans="3:7" ht="15">
      <c r="C174" s="27"/>
      <c r="D174" s="27"/>
      <c r="E174" s="27"/>
      <c r="F174" s="115"/>
      <c r="G174" s="115">
        <f t="shared" si="13"/>
        <v>0</v>
      </c>
    </row>
    <row r="175" spans="3:7" ht="15">
      <c r="C175" s="27"/>
      <c r="D175" s="27"/>
      <c r="E175" s="27"/>
      <c r="F175" s="115"/>
      <c r="G175" s="115">
        <f t="shared" si="13"/>
        <v>0</v>
      </c>
    </row>
    <row r="176" spans="3:7" ht="15.75" thickBot="1">
      <c r="C176" s="22"/>
      <c r="D176" s="22"/>
      <c r="E176" s="22"/>
      <c r="F176" s="121"/>
      <c r="G176" s="115">
        <f t="shared" si="13"/>
        <v>0</v>
      </c>
    </row>
    <row r="177" spans="3:7" ht="15.75" thickBot="1">
      <c r="C177" s="135" t="s">
        <v>92</v>
      </c>
      <c r="D177" s="38" t="s">
        <v>185</v>
      </c>
      <c r="E177" s="39"/>
      <c r="F177" s="122" t="s">
        <v>184</v>
      </c>
      <c r="G177" s="116">
        <f>SUM(G178:G183)</f>
        <v>0.05416666666666666</v>
      </c>
    </row>
    <row r="178" spans="3:7" ht="15">
      <c r="C178" s="41" t="s">
        <v>186</v>
      </c>
      <c r="D178" s="40"/>
      <c r="E178" s="40"/>
      <c r="F178" s="120"/>
      <c r="G178" s="115"/>
    </row>
    <row r="179" spans="3:7" ht="15">
      <c r="C179" s="25" t="s">
        <v>140</v>
      </c>
      <c r="D179" s="67">
        <f>'TIEMPO P.P.'!$F$5/'TIEMPO P.P.'!$H$3</f>
        <v>0.004</v>
      </c>
      <c r="E179" s="67"/>
      <c r="F179" s="120">
        <f>IF(DATOS!$I$9&gt;0,(DATOS!$C$4*'TIEMPO P.P.'!$I$3)/240,0)</f>
        <v>0</v>
      </c>
      <c r="G179" s="115">
        <f>D179*F179</f>
        <v>0</v>
      </c>
    </row>
    <row r="180" spans="3:7" ht="15">
      <c r="C180" s="25" t="s">
        <v>78</v>
      </c>
      <c r="D180" s="67">
        <f>'TIEMPO P.P.'!$F$16/'TIEMPO P.P.'!$H$3</f>
        <v>0.024888888888888887</v>
      </c>
      <c r="E180" s="67"/>
      <c r="F180" s="120">
        <f>IF(DATOS!$J$9&gt;0,DATOS!$C$5*'TIEMPO P.P.'!$I$14/240,0)</f>
        <v>0</v>
      </c>
      <c r="G180" s="115">
        <f>F180*D180</f>
        <v>0</v>
      </c>
    </row>
    <row r="181" spans="3:7" ht="15">
      <c r="C181" s="41" t="s">
        <v>187</v>
      </c>
      <c r="D181" s="42"/>
      <c r="E181" s="42"/>
      <c r="F181" s="120"/>
      <c r="G181" s="115"/>
    </row>
    <row r="182" spans="3:7" ht="15">
      <c r="C182" s="27" t="s">
        <v>140</v>
      </c>
      <c r="D182" s="68">
        <f>D179</f>
        <v>0.004</v>
      </c>
      <c r="E182" s="68"/>
      <c r="F182" s="115">
        <f>IF(DATOS!$I$14&gt;0,DATOS!$C$7*'TIEMPO P.P.'!$I$3/8,0)</f>
        <v>1.875</v>
      </c>
      <c r="G182" s="115">
        <f>D182*F182</f>
        <v>0.0075</v>
      </c>
    </row>
    <row r="183" spans="3:7" ht="15.75" thickBot="1">
      <c r="C183" s="22" t="s">
        <v>78</v>
      </c>
      <c r="D183" s="71">
        <f>D180</f>
        <v>0.024888888888888887</v>
      </c>
      <c r="E183" s="71"/>
      <c r="F183" s="115">
        <f>IF(DATOS!$J$14&gt;0,DATOS!$C$8*'TIEMPO P.P.'!$I$14/8,0)</f>
        <v>1.875</v>
      </c>
      <c r="G183" s="115">
        <f>D183*F183</f>
        <v>0.04666666666666666</v>
      </c>
    </row>
    <row r="184" spans="3:7" ht="15.75" thickBot="1">
      <c r="C184" s="135" t="s">
        <v>93</v>
      </c>
      <c r="D184" s="38" t="s">
        <v>193</v>
      </c>
      <c r="E184" s="39"/>
      <c r="F184" s="122" t="s">
        <v>198</v>
      </c>
      <c r="G184" s="116">
        <f>SUM(G185:G187)</f>
        <v>0.06380153563161374</v>
      </c>
    </row>
    <row r="185" spans="3:7" ht="15">
      <c r="C185" s="25" t="s">
        <v>191</v>
      </c>
      <c r="D185" s="70">
        <f>('TIEMPO P.P.'!$E$5+'TIEMPO P.P.'!$E$16)/2</f>
        <v>0.05416666666666666</v>
      </c>
      <c r="E185" s="70"/>
      <c r="F185" s="120">
        <f>IF(DATOS!$F$51=0,DATOS!$F$20,DATOS!$F$51)</f>
        <v>1.1778745039682539</v>
      </c>
      <c r="G185" s="115">
        <f>D185*$F$20</f>
        <v>0.06380153563161374</v>
      </c>
    </row>
    <row r="186" spans="3:7" ht="15">
      <c r="C186" s="27" t="s">
        <v>192</v>
      </c>
      <c r="D186" s="69">
        <f>D185</f>
        <v>0.05416666666666666</v>
      </c>
      <c r="E186" s="69"/>
      <c r="F186" s="115">
        <f>DATOS!$F$65/ORDEN!$D$34</f>
        <v>0</v>
      </c>
      <c r="G186" s="115">
        <f>D186*$F$21</f>
        <v>0</v>
      </c>
    </row>
    <row r="187" spans="3:7" ht="15.75" thickBot="1">
      <c r="C187" s="27"/>
      <c r="D187" s="27"/>
      <c r="E187" s="27"/>
      <c r="F187" s="115"/>
      <c r="G187" s="115">
        <f aca="true" t="shared" si="14" ref="G187">D187*F187</f>
        <v>0</v>
      </c>
    </row>
    <row r="188" spans="3:7" ht="17.25" thickBot="1" thickTop="1">
      <c r="C188" s="28"/>
      <c r="D188" s="543" t="s">
        <v>94</v>
      </c>
      <c r="E188" s="544"/>
      <c r="F188" s="545"/>
      <c r="G188" s="117">
        <f>G169+G177+G184</f>
        <v>0.1179682022982804</v>
      </c>
    </row>
    <row r="189" ht="15.75" thickTop="1"/>
    <row r="192" spans="3:7" ht="19.5" thickBot="1">
      <c r="C192" s="546" t="str">
        <f>PLATOS!G16</f>
        <v>COSTO-ACOMPAÑAMIENTO'!C177</v>
      </c>
      <c r="D192" s="546"/>
      <c r="E192" s="546"/>
      <c r="F192" s="546"/>
      <c r="G192" s="546"/>
    </row>
    <row r="193" spans="4:7" ht="15.75" thickBot="1">
      <c r="D193" s="31" t="s">
        <v>96</v>
      </c>
      <c r="E193" s="31"/>
      <c r="F193" s="119" t="s">
        <v>95</v>
      </c>
      <c r="G193" s="113" t="s">
        <v>97</v>
      </c>
    </row>
    <row r="194" spans="3:7" ht="15.75" thickBot="1">
      <c r="C194" s="547" t="s">
        <v>91</v>
      </c>
      <c r="D194" s="548"/>
      <c r="E194" s="548"/>
      <c r="F194" s="549"/>
      <c r="G194" s="114">
        <f>SUM(G195:G201)</f>
        <v>0</v>
      </c>
    </row>
    <row r="195" spans="3:7" ht="15">
      <c r="C195" s="25"/>
      <c r="D195" s="25"/>
      <c r="E195" s="25"/>
      <c r="F195" s="120"/>
      <c r="G195" s="115">
        <f>D195*F195</f>
        <v>0</v>
      </c>
    </row>
    <row r="196" spans="3:7" ht="15">
      <c r="C196" s="27"/>
      <c r="D196" s="27"/>
      <c r="E196" s="27"/>
      <c r="F196" s="115"/>
      <c r="G196" s="115">
        <f aca="true" t="shared" si="15" ref="G196:G201">D196*F196</f>
        <v>0</v>
      </c>
    </row>
    <row r="197" spans="3:7" ht="15">
      <c r="C197" s="27"/>
      <c r="D197" s="27"/>
      <c r="E197" s="27"/>
      <c r="F197" s="115"/>
      <c r="G197" s="115">
        <f t="shared" si="15"/>
        <v>0</v>
      </c>
    </row>
    <row r="198" spans="3:7" ht="15">
      <c r="C198" s="27"/>
      <c r="D198" s="27"/>
      <c r="E198" s="27"/>
      <c r="F198" s="115"/>
      <c r="G198" s="115">
        <f t="shared" si="15"/>
        <v>0</v>
      </c>
    </row>
    <row r="199" spans="3:7" ht="15">
      <c r="C199" s="27"/>
      <c r="D199" s="27"/>
      <c r="E199" s="27"/>
      <c r="F199" s="115"/>
      <c r="G199" s="115">
        <f t="shared" si="15"/>
        <v>0</v>
      </c>
    </row>
    <row r="200" spans="3:7" ht="15">
      <c r="C200" s="27"/>
      <c r="D200" s="27"/>
      <c r="E200" s="27"/>
      <c r="F200" s="115"/>
      <c r="G200" s="115">
        <f t="shared" si="15"/>
        <v>0</v>
      </c>
    </row>
    <row r="201" spans="3:7" ht="15.75" thickBot="1">
      <c r="C201" s="22"/>
      <c r="D201" s="22"/>
      <c r="E201" s="22"/>
      <c r="F201" s="121"/>
      <c r="G201" s="115">
        <f t="shared" si="15"/>
        <v>0</v>
      </c>
    </row>
    <row r="202" spans="3:7" ht="15.75" thickBot="1">
      <c r="C202" s="135" t="s">
        <v>92</v>
      </c>
      <c r="D202" s="38" t="s">
        <v>185</v>
      </c>
      <c r="E202" s="39"/>
      <c r="F202" s="122" t="s">
        <v>184</v>
      </c>
      <c r="G202" s="116">
        <f>SUM(G203:G208)</f>
        <v>0.05416666666666666</v>
      </c>
    </row>
    <row r="203" spans="3:7" ht="15">
      <c r="C203" s="41" t="s">
        <v>186</v>
      </c>
      <c r="D203" s="40"/>
      <c r="E203" s="40"/>
      <c r="F203" s="120"/>
      <c r="G203" s="115"/>
    </row>
    <row r="204" spans="3:7" ht="15">
      <c r="C204" s="25" t="s">
        <v>140</v>
      </c>
      <c r="D204" s="67">
        <f>'TIEMPO P.P.'!$F$5/'TIEMPO P.P.'!$H$3</f>
        <v>0.004</v>
      </c>
      <c r="E204" s="67"/>
      <c r="F204" s="120">
        <f>IF(DATOS!$I$9&gt;0,(DATOS!$C$4*'TIEMPO P.P.'!$I$3)/240,0)</f>
        <v>0</v>
      </c>
      <c r="G204" s="115">
        <f>D204*F204</f>
        <v>0</v>
      </c>
    </row>
    <row r="205" spans="3:7" ht="15">
      <c r="C205" s="25" t="s">
        <v>78</v>
      </c>
      <c r="D205" s="67">
        <f>'TIEMPO P.P.'!$F$16/'TIEMPO P.P.'!$H$3</f>
        <v>0.024888888888888887</v>
      </c>
      <c r="E205" s="67"/>
      <c r="F205" s="120">
        <f>IF(DATOS!$J$9&gt;0,DATOS!$C$5*'TIEMPO P.P.'!$I$14/240,0)</f>
        <v>0</v>
      </c>
      <c r="G205" s="115">
        <f>F205*D205</f>
        <v>0</v>
      </c>
    </row>
    <row r="206" spans="3:7" ht="15">
      <c r="C206" s="41" t="s">
        <v>187</v>
      </c>
      <c r="D206" s="42"/>
      <c r="E206" s="42"/>
      <c r="F206" s="120"/>
      <c r="G206" s="115"/>
    </row>
    <row r="207" spans="3:7" ht="15">
      <c r="C207" s="27" t="s">
        <v>140</v>
      </c>
      <c r="D207" s="68">
        <f>D204</f>
        <v>0.004</v>
      </c>
      <c r="E207" s="68"/>
      <c r="F207" s="115">
        <f>IF(DATOS!$I$14&gt;0,DATOS!$C$7*'TIEMPO P.P.'!$I$3/8,0)</f>
        <v>1.875</v>
      </c>
      <c r="G207" s="115">
        <f>D207*F207</f>
        <v>0.0075</v>
      </c>
    </row>
    <row r="208" spans="3:7" ht="15.75" thickBot="1">
      <c r="C208" s="22" t="s">
        <v>78</v>
      </c>
      <c r="D208" s="71">
        <f>D205</f>
        <v>0.024888888888888887</v>
      </c>
      <c r="E208" s="71"/>
      <c r="F208" s="115">
        <f>IF(DATOS!$J$14&gt;0,DATOS!$C$8*'TIEMPO P.P.'!$I$14/8,0)</f>
        <v>1.875</v>
      </c>
      <c r="G208" s="115">
        <f>D208*F208</f>
        <v>0.04666666666666666</v>
      </c>
    </row>
    <row r="209" spans="3:7" ht="15.75" thickBot="1">
      <c r="C209" s="135" t="s">
        <v>93</v>
      </c>
      <c r="D209" s="38" t="s">
        <v>193</v>
      </c>
      <c r="E209" s="39"/>
      <c r="F209" s="122" t="s">
        <v>198</v>
      </c>
      <c r="G209" s="116">
        <f>SUM(G210:G212)</f>
        <v>0.06380153563161374</v>
      </c>
    </row>
    <row r="210" spans="3:7" ht="15">
      <c r="C210" s="25" t="s">
        <v>191</v>
      </c>
      <c r="D210" s="70">
        <f>('TIEMPO P.P.'!$E$5+'TIEMPO P.P.'!$E$16)/2</f>
        <v>0.05416666666666666</v>
      </c>
      <c r="E210" s="70"/>
      <c r="F210" s="120">
        <f>IF(DATOS!$F$51=0,DATOS!$F$20,DATOS!$F$51)</f>
        <v>1.1778745039682539</v>
      </c>
      <c r="G210" s="115">
        <f>D210*$F$20</f>
        <v>0.06380153563161374</v>
      </c>
    </row>
    <row r="211" spans="3:7" ht="15">
      <c r="C211" s="27" t="s">
        <v>192</v>
      </c>
      <c r="D211" s="69">
        <f>D210</f>
        <v>0.05416666666666666</v>
      </c>
      <c r="E211" s="69"/>
      <c r="F211" s="115">
        <f>DATOS!$F$65/ORDEN!$D$34</f>
        <v>0</v>
      </c>
      <c r="G211" s="115">
        <f>D211*$F$21</f>
        <v>0</v>
      </c>
    </row>
    <row r="212" spans="3:7" ht="15.75" thickBot="1">
      <c r="C212" s="27"/>
      <c r="D212" s="27"/>
      <c r="E212" s="27"/>
      <c r="F212" s="115"/>
      <c r="G212" s="115">
        <f aca="true" t="shared" si="16" ref="G212">D212*F212</f>
        <v>0</v>
      </c>
    </row>
    <row r="213" spans="3:7" ht="17.25" thickBot="1" thickTop="1">
      <c r="C213" s="28"/>
      <c r="D213" s="543" t="s">
        <v>94</v>
      </c>
      <c r="E213" s="544"/>
      <c r="F213" s="545"/>
      <c r="G213" s="117">
        <f>G194+G202+G209</f>
        <v>0.1179682022982804</v>
      </c>
    </row>
    <row r="214" ht="15.75" thickTop="1"/>
    <row r="216" spans="3:7" ht="19.5" thickBot="1">
      <c r="C216" s="546" t="str">
        <f>PLATOS!G17</f>
        <v>COSTO-ACOMPAÑAMIENTO'!C198</v>
      </c>
      <c r="D216" s="546"/>
      <c r="E216" s="546"/>
      <c r="F216" s="546"/>
      <c r="G216" s="546"/>
    </row>
    <row r="217" spans="4:7" ht="15.75" thickBot="1">
      <c r="D217" s="31" t="s">
        <v>96</v>
      </c>
      <c r="E217" s="31"/>
      <c r="F217" s="119" t="s">
        <v>95</v>
      </c>
      <c r="G217" s="113" t="s">
        <v>97</v>
      </c>
    </row>
    <row r="218" spans="3:7" ht="15.75" thickBot="1">
      <c r="C218" s="547" t="s">
        <v>91</v>
      </c>
      <c r="D218" s="548"/>
      <c r="E218" s="548"/>
      <c r="F218" s="549"/>
      <c r="G218" s="114">
        <f>SUM(G219:G225)</f>
        <v>0</v>
      </c>
    </row>
    <row r="219" spans="3:7" ht="15">
      <c r="C219" s="25"/>
      <c r="D219" s="25"/>
      <c r="E219" s="25"/>
      <c r="F219" s="120"/>
      <c r="G219" s="115">
        <f>D219*F219</f>
        <v>0</v>
      </c>
    </row>
    <row r="220" spans="3:7" ht="15">
      <c r="C220" s="27"/>
      <c r="D220" s="27"/>
      <c r="E220" s="27"/>
      <c r="F220" s="115"/>
      <c r="G220" s="115">
        <f aca="true" t="shared" si="17" ref="G220:G225">D220*F220</f>
        <v>0</v>
      </c>
    </row>
    <row r="221" spans="3:7" ht="15">
      <c r="C221" s="27"/>
      <c r="D221" s="27"/>
      <c r="E221" s="27"/>
      <c r="F221" s="115"/>
      <c r="G221" s="115">
        <f t="shared" si="17"/>
        <v>0</v>
      </c>
    </row>
    <row r="222" spans="3:7" ht="15">
      <c r="C222" s="27"/>
      <c r="D222" s="27"/>
      <c r="E222" s="27"/>
      <c r="F222" s="115"/>
      <c r="G222" s="115">
        <f t="shared" si="17"/>
        <v>0</v>
      </c>
    </row>
    <row r="223" spans="3:7" ht="15">
      <c r="C223" s="27"/>
      <c r="D223" s="27"/>
      <c r="E223" s="27"/>
      <c r="F223" s="115"/>
      <c r="G223" s="115">
        <f t="shared" si="17"/>
        <v>0</v>
      </c>
    </row>
    <row r="224" spans="3:7" ht="15">
      <c r="C224" s="27"/>
      <c r="D224" s="27"/>
      <c r="E224" s="27"/>
      <c r="F224" s="115"/>
      <c r="G224" s="115">
        <f t="shared" si="17"/>
        <v>0</v>
      </c>
    </row>
    <row r="225" spans="3:7" ht="15.75" thickBot="1">
      <c r="C225" s="22"/>
      <c r="D225" s="22"/>
      <c r="E225" s="22"/>
      <c r="F225" s="121"/>
      <c r="G225" s="115">
        <f t="shared" si="17"/>
        <v>0</v>
      </c>
    </row>
    <row r="226" spans="3:7" ht="15.75" thickBot="1">
      <c r="C226" s="135" t="s">
        <v>92</v>
      </c>
      <c r="D226" s="38" t="s">
        <v>185</v>
      </c>
      <c r="E226" s="39"/>
      <c r="F226" s="122" t="s">
        <v>184</v>
      </c>
      <c r="G226" s="116">
        <f>SUM(G227:G232)</f>
        <v>0.05416666666666666</v>
      </c>
    </row>
    <row r="227" spans="3:7" ht="15">
      <c r="C227" s="41" t="s">
        <v>186</v>
      </c>
      <c r="D227" s="40"/>
      <c r="E227" s="40"/>
      <c r="F227" s="120"/>
      <c r="G227" s="115"/>
    </row>
    <row r="228" spans="3:7" ht="15">
      <c r="C228" s="25" t="s">
        <v>140</v>
      </c>
      <c r="D228" s="67">
        <f>'TIEMPO P.P.'!$F$5/'TIEMPO P.P.'!$H$3</f>
        <v>0.004</v>
      </c>
      <c r="E228" s="67"/>
      <c r="F228" s="120">
        <f>IF(DATOS!$I$9&gt;0,(DATOS!$C$4*'TIEMPO P.P.'!$I$3)/240,0)</f>
        <v>0</v>
      </c>
      <c r="G228" s="115">
        <f>D228*F228</f>
        <v>0</v>
      </c>
    </row>
    <row r="229" spans="3:7" ht="15">
      <c r="C229" s="25" t="s">
        <v>78</v>
      </c>
      <c r="D229" s="67">
        <f>'TIEMPO P.P.'!$F$16/'TIEMPO P.P.'!$H$3</f>
        <v>0.024888888888888887</v>
      </c>
      <c r="E229" s="67"/>
      <c r="F229" s="120">
        <f>IF(DATOS!$J$9&gt;0,DATOS!$C$5*'TIEMPO P.P.'!$I$14/240,0)</f>
        <v>0</v>
      </c>
      <c r="G229" s="115">
        <f>F229*D229</f>
        <v>0</v>
      </c>
    </row>
    <row r="230" spans="3:7" ht="15">
      <c r="C230" s="41" t="s">
        <v>187</v>
      </c>
      <c r="D230" s="42"/>
      <c r="E230" s="42"/>
      <c r="F230" s="120"/>
      <c r="G230" s="115"/>
    </row>
    <row r="231" spans="3:7" ht="15">
      <c r="C231" s="27" t="s">
        <v>140</v>
      </c>
      <c r="D231" s="68">
        <f>D228</f>
        <v>0.004</v>
      </c>
      <c r="E231" s="68"/>
      <c r="F231" s="115">
        <f>IF(DATOS!$I$14&gt;0,DATOS!$C$7*'TIEMPO P.P.'!$I$3/8,0)</f>
        <v>1.875</v>
      </c>
      <c r="G231" s="115">
        <f>D231*F231</f>
        <v>0.0075</v>
      </c>
    </row>
    <row r="232" spans="3:7" ht="15.75" thickBot="1">
      <c r="C232" s="22" t="s">
        <v>78</v>
      </c>
      <c r="D232" s="71">
        <f>D229</f>
        <v>0.024888888888888887</v>
      </c>
      <c r="E232" s="71"/>
      <c r="F232" s="115">
        <f>IF(DATOS!$J$14&gt;0,DATOS!$C$8*'TIEMPO P.P.'!$I$14/8,0)</f>
        <v>1.875</v>
      </c>
      <c r="G232" s="115">
        <f>D232*F232</f>
        <v>0.04666666666666666</v>
      </c>
    </row>
    <row r="233" spans="3:7" ht="15.75" thickBot="1">
      <c r="C233" s="135" t="s">
        <v>93</v>
      </c>
      <c r="D233" s="38" t="s">
        <v>193</v>
      </c>
      <c r="E233" s="39"/>
      <c r="F233" s="122" t="s">
        <v>198</v>
      </c>
      <c r="G233" s="116">
        <f>SUM(G234:G236)</f>
        <v>0.06380153563161374</v>
      </c>
    </row>
    <row r="234" spans="3:7" ht="15">
      <c r="C234" s="25" t="s">
        <v>191</v>
      </c>
      <c r="D234" s="70">
        <f>('TIEMPO P.P.'!$E$5+'TIEMPO P.P.'!$E$16)/2</f>
        <v>0.05416666666666666</v>
      </c>
      <c r="E234" s="70"/>
      <c r="F234" s="120">
        <f>IF(DATOS!$F$51=0,DATOS!$F$20,DATOS!$F$51)</f>
        <v>1.1778745039682539</v>
      </c>
      <c r="G234" s="115">
        <f>D234*$F$20</f>
        <v>0.06380153563161374</v>
      </c>
    </row>
    <row r="235" spans="3:7" ht="15">
      <c r="C235" s="27" t="s">
        <v>192</v>
      </c>
      <c r="D235" s="69">
        <f>D234</f>
        <v>0.05416666666666666</v>
      </c>
      <c r="E235" s="69"/>
      <c r="F235" s="115">
        <f>DATOS!$F$65/ORDEN!$D$34</f>
        <v>0</v>
      </c>
      <c r="G235" s="115">
        <f>D235*$F$21</f>
        <v>0</v>
      </c>
    </row>
    <row r="236" spans="3:7" ht="15.75" thickBot="1">
      <c r="C236" s="27"/>
      <c r="D236" s="27"/>
      <c r="E236" s="27"/>
      <c r="F236" s="115"/>
      <c r="G236" s="115">
        <f aca="true" t="shared" si="18" ref="G236">D236*F236</f>
        <v>0</v>
      </c>
    </row>
    <row r="237" spans="3:7" ht="17.25" thickBot="1" thickTop="1">
      <c r="C237" s="28"/>
      <c r="D237" s="543" t="s">
        <v>94</v>
      </c>
      <c r="E237" s="544"/>
      <c r="F237" s="545"/>
      <c r="G237" s="117">
        <f>G218+G226+G233</f>
        <v>0.1179682022982804</v>
      </c>
    </row>
    <row r="238" ht="15.75" thickTop="1"/>
    <row r="241" spans="3:7" ht="19.5" thickBot="1">
      <c r="C241" s="546" t="str">
        <f>PLATOS!G18</f>
        <v>COSTO-ACOMPAÑAMIENTO'!C220</v>
      </c>
      <c r="D241" s="546"/>
      <c r="E241" s="546"/>
      <c r="F241" s="546"/>
      <c r="G241" s="546"/>
    </row>
    <row r="242" spans="4:7" ht="15.75" thickBot="1">
      <c r="D242" s="31" t="s">
        <v>96</v>
      </c>
      <c r="E242" s="31"/>
      <c r="F242" s="119" t="s">
        <v>95</v>
      </c>
      <c r="G242" s="113" t="s">
        <v>97</v>
      </c>
    </row>
    <row r="243" spans="3:7" ht="15.75" thickBot="1">
      <c r="C243" s="547" t="s">
        <v>91</v>
      </c>
      <c r="D243" s="548"/>
      <c r="E243" s="548"/>
      <c r="F243" s="549"/>
      <c r="G243" s="114">
        <f>SUM(G244:G250)</f>
        <v>0</v>
      </c>
    </row>
    <row r="244" spans="3:7" ht="15">
      <c r="C244" s="25"/>
      <c r="D244" s="25"/>
      <c r="E244" s="25"/>
      <c r="F244" s="120"/>
      <c r="G244" s="115">
        <f>D244*F244</f>
        <v>0</v>
      </c>
    </row>
    <row r="245" spans="3:7" ht="15">
      <c r="C245" s="27"/>
      <c r="D245" s="27"/>
      <c r="E245" s="27"/>
      <c r="F245" s="115"/>
      <c r="G245" s="115">
        <f aca="true" t="shared" si="19" ref="G245:G250">D245*F245</f>
        <v>0</v>
      </c>
    </row>
    <row r="246" spans="3:7" ht="15">
      <c r="C246" s="27"/>
      <c r="D246" s="27"/>
      <c r="E246" s="27"/>
      <c r="F246" s="115"/>
      <c r="G246" s="115">
        <f t="shared" si="19"/>
        <v>0</v>
      </c>
    </row>
    <row r="247" spans="3:7" ht="15">
      <c r="C247" s="27"/>
      <c r="D247" s="27"/>
      <c r="E247" s="27"/>
      <c r="F247" s="115"/>
      <c r="G247" s="115">
        <f t="shared" si="19"/>
        <v>0</v>
      </c>
    </row>
    <row r="248" spans="3:7" ht="15">
      <c r="C248" s="27"/>
      <c r="D248" s="27"/>
      <c r="E248" s="27"/>
      <c r="F248" s="115"/>
      <c r="G248" s="115">
        <f t="shared" si="19"/>
        <v>0</v>
      </c>
    </row>
    <row r="249" spans="3:7" ht="15">
      <c r="C249" s="27"/>
      <c r="D249" s="27"/>
      <c r="E249" s="27"/>
      <c r="F249" s="115"/>
      <c r="G249" s="115">
        <f t="shared" si="19"/>
        <v>0</v>
      </c>
    </row>
    <row r="250" spans="3:7" ht="15.75" thickBot="1">
      <c r="C250" s="22"/>
      <c r="D250" s="22"/>
      <c r="E250" s="22"/>
      <c r="F250" s="121"/>
      <c r="G250" s="115">
        <f t="shared" si="19"/>
        <v>0</v>
      </c>
    </row>
    <row r="251" spans="3:7" ht="15.75" thickBot="1">
      <c r="C251" s="135" t="s">
        <v>92</v>
      </c>
      <c r="D251" s="38" t="s">
        <v>185</v>
      </c>
      <c r="E251" s="39"/>
      <c r="F251" s="122" t="s">
        <v>184</v>
      </c>
      <c r="G251" s="116">
        <f>SUM(G252:G257)</f>
        <v>0.05416666666666666</v>
      </c>
    </row>
    <row r="252" spans="3:7" ht="15">
      <c r="C252" s="41" t="s">
        <v>186</v>
      </c>
      <c r="D252" s="40"/>
      <c r="E252" s="40"/>
      <c r="F252" s="120"/>
      <c r="G252" s="115"/>
    </row>
    <row r="253" spans="3:7" ht="15">
      <c r="C253" s="25" t="s">
        <v>140</v>
      </c>
      <c r="D253" s="67">
        <f>'TIEMPO P.P.'!$F$5/'TIEMPO P.P.'!$H$3</f>
        <v>0.004</v>
      </c>
      <c r="E253" s="67"/>
      <c r="F253" s="120">
        <f>IF(DATOS!$I$9&gt;0,(DATOS!$C$4*'TIEMPO P.P.'!$I$3)/240,0)</f>
        <v>0</v>
      </c>
      <c r="G253" s="115">
        <f>D253*F253</f>
        <v>0</v>
      </c>
    </row>
    <row r="254" spans="3:7" ht="15">
      <c r="C254" s="25" t="s">
        <v>78</v>
      </c>
      <c r="D254" s="67">
        <f>'TIEMPO P.P.'!$F$16/'TIEMPO P.P.'!$H$3</f>
        <v>0.024888888888888887</v>
      </c>
      <c r="E254" s="67"/>
      <c r="F254" s="120">
        <f>IF(DATOS!$J$9&gt;0,DATOS!$C$5*'TIEMPO P.P.'!$I$14/240,0)</f>
        <v>0</v>
      </c>
      <c r="G254" s="115">
        <f>F254*D254</f>
        <v>0</v>
      </c>
    </row>
    <row r="255" spans="3:7" ht="15">
      <c r="C255" s="41" t="s">
        <v>187</v>
      </c>
      <c r="D255" s="42"/>
      <c r="E255" s="42"/>
      <c r="F255" s="120"/>
      <c r="G255" s="115"/>
    </row>
    <row r="256" spans="3:7" ht="15">
      <c r="C256" s="27" t="s">
        <v>140</v>
      </c>
      <c r="D256" s="68">
        <f>D253</f>
        <v>0.004</v>
      </c>
      <c r="E256" s="68"/>
      <c r="F256" s="115">
        <f>IF(DATOS!$I$14&gt;0,DATOS!$C$7*'TIEMPO P.P.'!$I$3/8,0)</f>
        <v>1.875</v>
      </c>
      <c r="G256" s="115">
        <f>D256*F256</f>
        <v>0.0075</v>
      </c>
    </row>
    <row r="257" spans="3:7" ht="15.75" thickBot="1">
      <c r="C257" s="22" t="s">
        <v>78</v>
      </c>
      <c r="D257" s="71">
        <f>D254</f>
        <v>0.024888888888888887</v>
      </c>
      <c r="E257" s="71"/>
      <c r="F257" s="115">
        <f>IF(DATOS!$J$14&gt;0,DATOS!$C$8*'TIEMPO P.P.'!$I$14/8,0)</f>
        <v>1.875</v>
      </c>
      <c r="G257" s="115">
        <f>D257*F257</f>
        <v>0.04666666666666666</v>
      </c>
    </row>
    <row r="258" spans="3:7" ht="15.75" thickBot="1">
      <c r="C258" s="135" t="s">
        <v>93</v>
      </c>
      <c r="D258" s="38" t="s">
        <v>193</v>
      </c>
      <c r="E258" s="39"/>
      <c r="F258" s="122" t="s">
        <v>198</v>
      </c>
      <c r="G258" s="116">
        <f>SUM(G259:G261)</f>
        <v>0.06380153563161374</v>
      </c>
    </row>
    <row r="259" spans="3:7" ht="15">
      <c r="C259" s="25" t="s">
        <v>191</v>
      </c>
      <c r="D259" s="70">
        <f>('TIEMPO P.P.'!$E$5+'TIEMPO P.P.'!$E$16)/2</f>
        <v>0.05416666666666666</v>
      </c>
      <c r="E259" s="70"/>
      <c r="F259" s="120">
        <f>IF(DATOS!$F$51=0,DATOS!$F$20,DATOS!$F$51)</f>
        <v>1.1778745039682539</v>
      </c>
      <c r="G259" s="115">
        <f>D259*$F$20</f>
        <v>0.06380153563161374</v>
      </c>
    </row>
    <row r="260" spans="3:7" ht="15">
      <c r="C260" s="27" t="s">
        <v>192</v>
      </c>
      <c r="D260" s="69">
        <f>D259</f>
        <v>0.05416666666666666</v>
      </c>
      <c r="E260" s="69"/>
      <c r="F260" s="115">
        <f>DATOS!$F$65/ORDEN!$D$34</f>
        <v>0</v>
      </c>
      <c r="G260" s="115">
        <f>D260*$F$21</f>
        <v>0</v>
      </c>
    </row>
    <row r="261" spans="3:7" ht="15.75" thickBot="1">
      <c r="C261" s="27"/>
      <c r="D261" s="27"/>
      <c r="E261" s="27"/>
      <c r="F261" s="115"/>
      <c r="G261" s="115">
        <f aca="true" t="shared" si="20" ref="G261">D261*F261</f>
        <v>0</v>
      </c>
    </row>
    <row r="262" spans="3:7" ht="17.25" thickBot="1" thickTop="1">
      <c r="C262" s="28"/>
      <c r="D262" s="543" t="s">
        <v>94</v>
      </c>
      <c r="E262" s="544"/>
      <c r="F262" s="545"/>
      <c r="G262" s="117">
        <f>G243+G251+G258</f>
        <v>0.1179682022982804</v>
      </c>
    </row>
    <row r="263" ht="15.75" thickTop="1"/>
    <row r="265" spans="3:7" ht="19.5" thickBot="1">
      <c r="C265" s="546" t="str">
        <f>PLATOS!G19</f>
        <v>COSTO-ACOMPAÑAMIENTO'!C241</v>
      </c>
      <c r="D265" s="546"/>
      <c r="E265" s="546"/>
      <c r="F265" s="546"/>
      <c r="G265" s="546"/>
    </row>
    <row r="266" spans="4:7" ht="15.75" thickBot="1">
      <c r="D266" s="31" t="s">
        <v>96</v>
      </c>
      <c r="E266" s="31"/>
      <c r="F266" s="119" t="s">
        <v>95</v>
      </c>
      <c r="G266" s="113" t="s">
        <v>97</v>
      </c>
    </row>
    <row r="267" spans="3:7" ht="15.75" thickBot="1">
      <c r="C267" s="547" t="s">
        <v>91</v>
      </c>
      <c r="D267" s="548"/>
      <c r="E267" s="548"/>
      <c r="F267" s="549"/>
      <c r="G267" s="114">
        <f>SUM(G268:G274)</f>
        <v>0</v>
      </c>
    </row>
    <row r="268" spans="3:7" ht="15">
      <c r="C268" s="25"/>
      <c r="D268" s="25"/>
      <c r="E268" s="25"/>
      <c r="F268" s="120"/>
      <c r="G268" s="115">
        <f>D268*F268</f>
        <v>0</v>
      </c>
    </row>
    <row r="269" spans="3:7" ht="15">
      <c r="C269" s="27"/>
      <c r="D269" s="27"/>
      <c r="E269" s="27"/>
      <c r="F269" s="115"/>
      <c r="G269" s="115">
        <f aca="true" t="shared" si="21" ref="G269:G274">D269*F269</f>
        <v>0</v>
      </c>
    </row>
    <row r="270" spans="3:7" ht="15">
      <c r="C270" s="27"/>
      <c r="D270" s="27"/>
      <c r="E270" s="27"/>
      <c r="F270" s="115"/>
      <c r="G270" s="115">
        <f t="shared" si="21"/>
        <v>0</v>
      </c>
    </row>
    <row r="271" spans="3:7" ht="15">
      <c r="C271" s="27"/>
      <c r="D271" s="27"/>
      <c r="E271" s="27"/>
      <c r="F271" s="115"/>
      <c r="G271" s="115">
        <f t="shared" si="21"/>
        <v>0</v>
      </c>
    </row>
    <row r="272" spans="3:7" ht="15">
      <c r="C272" s="27"/>
      <c r="D272" s="27"/>
      <c r="E272" s="27"/>
      <c r="F272" s="115"/>
      <c r="G272" s="115">
        <f t="shared" si="21"/>
        <v>0</v>
      </c>
    </row>
    <row r="273" spans="3:7" ht="15">
      <c r="C273" s="27"/>
      <c r="D273" s="27"/>
      <c r="E273" s="27"/>
      <c r="F273" s="115"/>
      <c r="G273" s="115">
        <f t="shared" si="21"/>
        <v>0</v>
      </c>
    </row>
    <row r="274" spans="3:7" ht="15.75" thickBot="1">
      <c r="C274" s="22"/>
      <c r="D274" s="22"/>
      <c r="E274" s="22"/>
      <c r="F274" s="121"/>
      <c r="G274" s="115">
        <f t="shared" si="21"/>
        <v>0</v>
      </c>
    </row>
    <row r="275" spans="3:7" ht="15.75" thickBot="1">
      <c r="C275" s="135" t="s">
        <v>92</v>
      </c>
      <c r="D275" s="38" t="s">
        <v>185</v>
      </c>
      <c r="E275" s="39"/>
      <c r="F275" s="122" t="s">
        <v>184</v>
      </c>
      <c r="G275" s="116">
        <f>SUM(G276:G281)</f>
        <v>0.05416666666666666</v>
      </c>
    </row>
    <row r="276" spans="3:7" ht="15">
      <c r="C276" s="41" t="s">
        <v>186</v>
      </c>
      <c r="D276" s="40"/>
      <c r="E276" s="40"/>
      <c r="F276" s="120"/>
      <c r="G276" s="115"/>
    </row>
    <row r="277" spans="3:7" ht="15">
      <c r="C277" s="25" t="s">
        <v>140</v>
      </c>
      <c r="D277" s="67">
        <f>'TIEMPO P.P.'!$F$5/'TIEMPO P.P.'!$H$3</f>
        <v>0.004</v>
      </c>
      <c r="E277" s="67"/>
      <c r="F277" s="120">
        <f>IF(DATOS!$I$9&gt;0,(DATOS!$C$4*'TIEMPO P.P.'!$I$3)/240,0)</f>
        <v>0</v>
      </c>
      <c r="G277" s="115">
        <f>D277*F277</f>
        <v>0</v>
      </c>
    </row>
    <row r="278" spans="3:7" ht="15">
      <c r="C278" s="25" t="s">
        <v>78</v>
      </c>
      <c r="D278" s="67">
        <f>'TIEMPO P.P.'!$F$16/'TIEMPO P.P.'!$H$3</f>
        <v>0.024888888888888887</v>
      </c>
      <c r="E278" s="67"/>
      <c r="F278" s="120">
        <f>IF(DATOS!$J$9&gt;0,DATOS!$C$5*'TIEMPO P.P.'!$I$14/240,0)</f>
        <v>0</v>
      </c>
      <c r="G278" s="115">
        <f>F278*D278</f>
        <v>0</v>
      </c>
    </row>
    <row r="279" spans="3:7" ht="15">
      <c r="C279" s="41" t="s">
        <v>187</v>
      </c>
      <c r="D279" s="42"/>
      <c r="E279" s="42"/>
      <c r="F279" s="120"/>
      <c r="G279" s="115"/>
    </row>
    <row r="280" spans="3:7" ht="15">
      <c r="C280" s="27" t="s">
        <v>140</v>
      </c>
      <c r="D280" s="68">
        <f>D277</f>
        <v>0.004</v>
      </c>
      <c r="E280" s="68"/>
      <c r="F280" s="115">
        <f>IF(DATOS!$I$14&gt;0,DATOS!$C$7*'TIEMPO P.P.'!$I$3/8,0)</f>
        <v>1.875</v>
      </c>
      <c r="G280" s="115">
        <f>D280*F280</f>
        <v>0.0075</v>
      </c>
    </row>
    <row r="281" spans="3:7" ht="15.75" thickBot="1">
      <c r="C281" s="22" t="s">
        <v>78</v>
      </c>
      <c r="D281" s="71">
        <f>D278</f>
        <v>0.024888888888888887</v>
      </c>
      <c r="E281" s="71"/>
      <c r="F281" s="115">
        <f>IF(DATOS!$J$14&gt;0,DATOS!$C$8*'TIEMPO P.P.'!$I$14/8,0)</f>
        <v>1.875</v>
      </c>
      <c r="G281" s="115">
        <f>D281*F281</f>
        <v>0.04666666666666666</v>
      </c>
    </row>
    <row r="282" spans="3:7" ht="15.75" thickBot="1">
      <c r="C282" s="135" t="s">
        <v>93</v>
      </c>
      <c r="D282" s="38" t="s">
        <v>193</v>
      </c>
      <c r="E282" s="39"/>
      <c r="F282" s="122" t="s">
        <v>198</v>
      </c>
      <c r="G282" s="116">
        <f>SUM(G283:G285)</f>
        <v>0.06380153563161374</v>
      </c>
    </row>
    <row r="283" spans="3:7" ht="15">
      <c r="C283" s="25" t="s">
        <v>191</v>
      </c>
      <c r="D283" s="70">
        <f>('TIEMPO P.P.'!$E$5+'TIEMPO P.P.'!$E$16)/2</f>
        <v>0.05416666666666666</v>
      </c>
      <c r="E283" s="70"/>
      <c r="F283" s="120">
        <f>IF(DATOS!$F$51=0,DATOS!$F$20,DATOS!$F$51)</f>
        <v>1.1778745039682539</v>
      </c>
      <c r="G283" s="115">
        <f>D283*$F$20</f>
        <v>0.06380153563161374</v>
      </c>
    </row>
    <row r="284" spans="3:7" ht="15">
      <c r="C284" s="27" t="s">
        <v>192</v>
      </c>
      <c r="D284" s="69">
        <f>D283</f>
        <v>0.05416666666666666</v>
      </c>
      <c r="E284" s="69"/>
      <c r="F284" s="115">
        <f>DATOS!$F$65/ORDEN!$D$34</f>
        <v>0</v>
      </c>
      <c r="G284" s="115">
        <f>D284*$F$21</f>
        <v>0</v>
      </c>
    </row>
    <row r="285" spans="3:7" ht="15.75" thickBot="1">
      <c r="C285" s="27"/>
      <c r="D285" s="27"/>
      <c r="E285" s="27"/>
      <c r="F285" s="115"/>
      <c r="G285" s="115">
        <f aca="true" t="shared" si="22" ref="G285">D285*F285</f>
        <v>0</v>
      </c>
    </row>
    <row r="286" spans="3:7" ht="17.25" thickBot="1" thickTop="1">
      <c r="C286" s="28"/>
      <c r="D286" s="543" t="s">
        <v>94</v>
      </c>
      <c r="E286" s="544"/>
      <c r="F286" s="545"/>
      <c r="G286" s="117">
        <f>G267+G275+G282</f>
        <v>0.1179682022982804</v>
      </c>
    </row>
    <row r="287" ht="15.75" thickTop="1"/>
    <row r="290" spans="3:7" ht="19.5" thickBot="1">
      <c r="C290" s="546" t="str">
        <f>PLATOS!G20</f>
        <v>COSTO-ACOMPAÑAMIENTO'!C263</v>
      </c>
      <c r="D290" s="546"/>
      <c r="E290" s="546"/>
      <c r="F290" s="546"/>
      <c r="G290" s="546"/>
    </row>
    <row r="291" spans="4:7" ht="15.75" thickBot="1">
      <c r="D291" s="31" t="s">
        <v>96</v>
      </c>
      <c r="E291" s="31"/>
      <c r="F291" s="119" t="s">
        <v>95</v>
      </c>
      <c r="G291" s="113" t="s">
        <v>97</v>
      </c>
    </row>
    <row r="292" spans="3:7" ht="15.75" thickBot="1">
      <c r="C292" s="547" t="s">
        <v>91</v>
      </c>
      <c r="D292" s="548"/>
      <c r="E292" s="548"/>
      <c r="F292" s="549"/>
      <c r="G292" s="114">
        <f>SUM(G293:G299)</f>
        <v>0</v>
      </c>
    </row>
    <row r="293" spans="3:7" ht="15">
      <c r="C293" s="25"/>
      <c r="D293" s="25"/>
      <c r="E293" s="25"/>
      <c r="F293" s="120"/>
      <c r="G293" s="115">
        <f>D293*F293</f>
        <v>0</v>
      </c>
    </row>
    <row r="294" spans="3:7" ht="15">
      <c r="C294" s="27"/>
      <c r="D294" s="27"/>
      <c r="E294" s="27"/>
      <c r="F294" s="115"/>
      <c r="G294" s="115">
        <f aca="true" t="shared" si="23" ref="G294:G299">D294*F294</f>
        <v>0</v>
      </c>
    </row>
    <row r="295" spans="3:7" ht="15">
      <c r="C295" s="27"/>
      <c r="D295" s="27"/>
      <c r="E295" s="27"/>
      <c r="F295" s="115"/>
      <c r="G295" s="115">
        <f t="shared" si="23"/>
        <v>0</v>
      </c>
    </row>
    <row r="296" spans="3:7" ht="15">
      <c r="C296" s="27"/>
      <c r="D296" s="27"/>
      <c r="E296" s="27"/>
      <c r="F296" s="115"/>
      <c r="G296" s="115">
        <f t="shared" si="23"/>
        <v>0</v>
      </c>
    </row>
    <row r="297" spans="3:7" ht="15">
      <c r="C297" s="27"/>
      <c r="D297" s="27"/>
      <c r="E297" s="27"/>
      <c r="F297" s="115"/>
      <c r="G297" s="115">
        <f t="shared" si="23"/>
        <v>0</v>
      </c>
    </row>
    <row r="298" spans="3:7" ht="15">
      <c r="C298" s="27"/>
      <c r="D298" s="27"/>
      <c r="E298" s="27"/>
      <c r="F298" s="115"/>
      <c r="G298" s="115">
        <f t="shared" si="23"/>
        <v>0</v>
      </c>
    </row>
    <row r="299" spans="3:7" ht="15.75" thickBot="1">
      <c r="C299" s="22"/>
      <c r="D299" s="22"/>
      <c r="E299" s="22"/>
      <c r="F299" s="121"/>
      <c r="G299" s="115">
        <f t="shared" si="23"/>
        <v>0</v>
      </c>
    </row>
    <row r="300" spans="3:7" ht="15.75" thickBot="1">
      <c r="C300" s="135" t="s">
        <v>92</v>
      </c>
      <c r="D300" s="38" t="s">
        <v>185</v>
      </c>
      <c r="E300" s="39"/>
      <c r="F300" s="122" t="s">
        <v>184</v>
      </c>
      <c r="G300" s="116">
        <f>SUM(G301:G306)</f>
        <v>0.05416666666666666</v>
      </c>
    </row>
    <row r="301" spans="3:7" ht="15">
      <c r="C301" s="41" t="s">
        <v>186</v>
      </c>
      <c r="D301" s="40"/>
      <c r="E301" s="40"/>
      <c r="F301" s="120"/>
      <c r="G301" s="115"/>
    </row>
    <row r="302" spans="3:7" ht="15">
      <c r="C302" s="25" t="s">
        <v>140</v>
      </c>
      <c r="D302" s="67">
        <f>'TIEMPO P.P.'!$F$5/'TIEMPO P.P.'!$H$3</f>
        <v>0.004</v>
      </c>
      <c r="E302" s="67"/>
      <c r="F302" s="120">
        <f>IF(DATOS!$I$9&gt;0,(DATOS!$C$4*'TIEMPO P.P.'!$I$3)/240,0)</f>
        <v>0</v>
      </c>
      <c r="G302" s="115">
        <f>D302*F302</f>
        <v>0</v>
      </c>
    </row>
    <row r="303" spans="3:7" ht="15">
      <c r="C303" s="25" t="s">
        <v>78</v>
      </c>
      <c r="D303" s="67">
        <f>'TIEMPO P.P.'!$F$16/'TIEMPO P.P.'!$H$3</f>
        <v>0.024888888888888887</v>
      </c>
      <c r="E303" s="67"/>
      <c r="F303" s="120">
        <f>IF(DATOS!$J$9&gt;0,DATOS!$C$5*'TIEMPO P.P.'!$I$14/240,0)</f>
        <v>0</v>
      </c>
      <c r="G303" s="115">
        <f>F303*D303</f>
        <v>0</v>
      </c>
    </row>
    <row r="304" spans="3:7" ht="15">
      <c r="C304" s="41" t="s">
        <v>187</v>
      </c>
      <c r="D304" s="42"/>
      <c r="E304" s="42"/>
      <c r="F304" s="120"/>
      <c r="G304" s="115"/>
    </row>
    <row r="305" spans="3:7" ht="15">
      <c r="C305" s="27" t="s">
        <v>140</v>
      </c>
      <c r="D305" s="68">
        <f>D302</f>
        <v>0.004</v>
      </c>
      <c r="E305" s="68"/>
      <c r="F305" s="115">
        <f>IF(DATOS!$I$14&gt;0,DATOS!$C$7*'TIEMPO P.P.'!$I$3/8,0)</f>
        <v>1.875</v>
      </c>
      <c r="G305" s="115">
        <f>D305*F305</f>
        <v>0.0075</v>
      </c>
    </row>
    <row r="306" spans="3:7" ht="15.75" thickBot="1">
      <c r="C306" s="22" t="s">
        <v>78</v>
      </c>
      <c r="D306" s="71">
        <f>D303</f>
        <v>0.024888888888888887</v>
      </c>
      <c r="E306" s="71"/>
      <c r="F306" s="115">
        <f>IF(DATOS!$J$14&gt;0,DATOS!$C$8*'TIEMPO P.P.'!$I$14/8,0)</f>
        <v>1.875</v>
      </c>
      <c r="G306" s="115">
        <f>D306*F306</f>
        <v>0.04666666666666666</v>
      </c>
    </row>
    <row r="307" spans="3:7" ht="15.75" thickBot="1">
      <c r="C307" s="135" t="s">
        <v>93</v>
      </c>
      <c r="D307" s="38" t="s">
        <v>193</v>
      </c>
      <c r="E307" s="39"/>
      <c r="F307" s="122" t="s">
        <v>198</v>
      </c>
      <c r="G307" s="116">
        <f>SUM(G308:G310)</f>
        <v>0.06380153563161374</v>
      </c>
    </row>
    <row r="308" spans="3:7" ht="15">
      <c r="C308" s="25" t="s">
        <v>191</v>
      </c>
      <c r="D308" s="70">
        <f>('TIEMPO P.P.'!$E$5+'TIEMPO P.P.'!$E$16)/2</f>
        <v>0.05416666666666666</v>
      </c>
      <c r="E308" s="70"/>
      <c r="F308" s="120">
        <f>IF(DATOS!$F$51=0,DATOS!$F$20,DATOS!$F$51)</f>
        <v>1.1778745039682539</v>
      </c>
      <c r="G308" s="115">
        <f>D308*$F$20</f>
        <v>0.06380153563161374</v>
      </c>
    </row>
    <row r="309" spans="3:7" ht="15">
      <c r="C309" s="27" t="s">
        <v>192</v>
      </c>
      <c r="D309" s="69">
        <f>D308</f>
        <v>0.05416666666666666</v>
      </c>
      <c r="E309" s="69"/>
      <c r="F309" s="115">
        <f>DATOS!$F$65/ORDEN!$D$34</f>
        <v>0</v>
      </c>
      <c r="G309" s="115">
        <f>D309*$F$21</f>
        <v>0</v>
      </c>
    </row>
    <row r="310" spans="3:7" ht="15.75" thickBot="1">
      <c r="C310" s="27"/>
      <c r="D310" s="27"/>
      <c r="E310" s="27"/>
      <c r="F310" s="115"/>
      <c r="G310" s="115">
        <f aca="true" t="shared" si="24" ref="G310">D310*F310</f>
        <v>0</v>
      </c>
    </row>
    <row r="311" spans="3:7" ht="17.25" thickBot="1" thickTop="1">
      <c r="C311" s="28"/>
      <c r="D311" s="543" t="s">
        <v>94</v>
      </c>
      <c r="E311" s="544"/>
      <c r="F311" s="545"/>
      <c r="G311" s="117">
        <f>G292+G300+G307</f>
        <v>0.1179682022982804</v>
      </c>
    </row>
    <row r="312" ht="15.75" thickTop="1"/>
  </sheetData>
  <mergeCells count="41">
    <mergeCell ref="D45:F45"/>
    <mergeCell ref="C1:H1"/>
    <mergeCell ref="C3:H3"/>
    <mergeCell ref="C5:G5"/>
    <mergeCell ref="C7:F7"/>
    <mergeCell ref="D23:F23"/>
    <mergeCell ref="C26:G26"/>
    <mergeCell ref="C28:F28"/>
    <mergeCell ref="C96:F96"/>
    <mergeCell ref="C49:G49"/>
    <mergeCell ref="C51:F51"/>
    <mergeCell ref="D66:F66"/>
    <mergeCell ref="C69:G69"/>
    <mergeCell ref="C71:F71"/>
    <mergeCell ref="D90:F90"/>
    <mergeCell ref="C94:G94"/>
    <mergeCell ref="D115:F115"/>
    <mergeCell ref="C118:G118"/>
    <mergeCell ref="C120:F120"/>
    <mergeCell ref="D139:F139"/>
    <mergeCell ref="C143:G143"/>
    <mergeCell ref="C145:F145"/>
    <mergeCell ref="C216:G216"/>
    <mergeCell ref="D164:F164"/>
    <mergeCell ref="C167:G167"/>
    <mergeCell ref="C169:F169"/>
    <mergeCell ref="D188:F188"/>
    <mergeCell ref="C192:G192"/>
    <mergeCell ref="C194:F194"/>
    <mergeCell ref="D213:F213"/>
    <mergeCell ref="C218:F218"/>
    <mergeCell ref="D237:F237"/>
    <mergeCell ref="C241:G241"/>
    <mergeCell ref="C243:F243"/>
    <mergeCell ref="D262:F262"/>
    <mergeCell ref="C265:G265"/>
    <mergeCell ref="C267:F267"/>
    <mergeCell ref="D311:F311"/>
    <mergeCell ref="D286:F286"/>
    <mergeCell ref="C290:G290"/>
    <mergeCell ref="C292:F292"/>
  </mergeCells>
  <printOptions/>
  <pageMargins left="0.7" right="0.7" top="0.75" bottom="0.75" header="0.3" footer="0.3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2:L96"/>
  <sheetViews>
    <sheetView workbookViewId="0" topLeftCell="D1">
      <selection activeCell="D2" sqref="D2:G2"/>
    </sheetView>
  </sheetViews>
  <sheetFormatPr defaultColWidth="11.421875" defaultRowHeight="15"/>
  <cols>
    <col min="1" max="1" width="11.421875" style="174" hidden="1" customWidth="1"/>
    <col min="2" max="3" width="8.00390625" style="170" hidden="1" customWidth="1"/>
    <col min="4" max="4" width="18.7109375" style="174" customWidth="1"/>
    <col min="5" max="5" width="26.57421875" style="170" customWidth="1"/>
    <col min="6" max="6" width="11.421875" style="170" customWidth="1"/>
    <col min="7" max="7" width="27.421875" style="181" customWidth="1"/>
    <col min="8" max="12" width="11.421875" style="170" customWidth="1"/>
    <col min="13" max="16384" width="11.421875" style="170" customWidth="1"/>
  </cols>
  <sheetData>
    <row r="1" ht="15"/>
    <row r="2" spans="1:7" ht="30">
      <c r="A2" s="165" t="s">
        <v>422</v>
      </c>
      <c r="B2" s="166" t="s">
        <v>423</v>
      </c>
      <c r="C2" s="166"/>
      <c r="D2" s="167" t="s">
        <v>442</v>
      </c>
      <c r="E2" s="168" t="s">
        <v>416</v>
      </c>
      <c r="F2" s="168" t="s">
        <v>269</v>
      </c>
      <c r="G2" s="169" t="s">
        <v>466</v>
      </c>
    </row>
    <row r="3" spans="1:7" ht="15">
      <c r="A3" s="171">
        <v>30</v>
      </c>
      <c r="B3" s="172">
        <v>100</v>
      </c>
      <c r="C3" s="172" t="s">
        <v>285</v>
      </c>
      <c r="D3" s="171">
        <f>A3/B3</f>
        <v>0.3</v>
      </c>
      <c r="E3" s="172" t="s">
        <v>263</v>
      </c>
      <c r="F3" s="172" t="s">
        <v>417</v>
      </c>
      <c r="G3" s="173">
        <f>D3/$L$10</f>
        <v>0.00033</v>
      </c>
    </row>
    <row r="4" spans="4:7" ht="15">
      <c r="D4" s="171">
        <v>2</v>
      </c>
      <c r="E4" s="172" t="s">
        <v>345</v>
      </c>
      <c r="F4" s="172" t="s">
        <v>417</v>
      </c>
      <c r="G4" s="173">
        <f>D4/$L$8</f>
        <v>0.0044</v>
      </c>
    </row>
    <row r="5" spans="4:11" ht="15">
      <c r="D5" s="171">
        <v>1.8</v>
      </c>
      <c r="E5" s="172" t="s">
        <v>281</v>
      </c>
      <c r="F5" s="172" t="s">
        <v>417</v>
      </c>
      <c r="G5" s="173">
        <f>D5/$L$8</f>
        <v>0.003960000000000001</v>
      </c>
      <c r="I5" s="166" t="s">
        <v>418</v>
      </c>
      <c r="J5" s="166" t="s">
        <v>419</v>
      </c>
      <c r="K5" s="166" t="s">
        <v>420</v>
      </c>
    </row>
    <row r="6" spans="4:11" ht="15">
      <c r="D6" s="171">
        <v>0.25</v>
      </c>
      <c r="E6" s="172" t="s">
        <v>325</v>
      </c>
      <c r="F6" s="172" t="s">
        <v>283</v>
      </c>
      <c r="G6" s="173">
        <f>D6</f>
        <v>0.25</v>
      </c>
      <c r="I6" s="175">
        <v>1</v>
      </c>
      <c r="J6" s="175">
        <v>1000</v>
      </c>
      <c r="K6" s="175">
        <v>2.2</v>
      </c>
    </row>
    <row r="7" spans="4:12" ht="15">
      <c r="D7" s="171">
        <v>3.2</v>
      </c>
      <c r="E7" s="172" t="s">
        <v>295</v>
      </c>
      <c r="F7" s="172" t="s">
        <v>417</v>
      </c>
      <c r="G7" s="173">
        <f aca="true" t="shared" si="0" ref="G7:G26">D7/$L$8</f>
        <v>0.007040000000000001</v>
      </c>
      <c r="L7" s="166" t="s">
        <v>419</v>
      </c>
    </row>
    <row r="8" spans="1:12" ht="15">
      <c r="A8" s="171">
        <f>'[1]M2'!$K$10</f>
        <v>2.5</v>
      </c>
      <c r="B8" s="172">
        <v>1</v>
      </c>
      <c r="C8" s="172" t="s">
        <v>428</v>
      </c>
      <c r="D8" s="171">
        <f>A8/B8</f>
        <v>2.5</v>
      </c>
      <c r="E8" s="172" t="s">
        <v>292</v>
      </c>
      <c r="F8" s="172" t="s">
        <v>417</v>
      </c>
      <c r="G8" s="173">
        <f t="shared" si="0"/>
        <v>0.0055000000000000005</v>
      </c>
      <c r="K8" s="176" t="s">
        <v>421</v>
      </c>
      <c r="L8" s="177">
        <f>J6/K6</f>
        <v>454.5454545454545</v>
      </c>
    </row>
    <row r="9" spans="1:7" ht="15">
      <c r="A9" s="171">
        <v>2.5</v>
      </c>
      <c r="B9" s="172">
        <v>1</v>
      </c>
      <c r="C9" s="172" t="s">
        <v>428</v>
      </c>
      <c r="D9" s="171">
        <f>A9/B9</f>
        <v>2.5</v>
      </c>
      <c r="E9" s="172" t="s">
        <v>380</v>
      </c>
      <c r="F9" s="172" t="s">
        <v>417</v>
      </c>
      <c r="G9" s="173">
        <f t="shared" si="0"/>
        <v>0.0055000000000000005</v>
      </c>
    </row>
    <row r="10" spans="4:12" ht="15">
      <c r="D10" s="171">
        <v>1</v>
      </c>
      <c r="E10" s="172" t="s">
        <v>352</v>
      </c>
      <c r="F10" s="172" t="s">
        <v>417</v>
      </c>
      <c r="G10" s="173">
        <f t="shared" si="0"/>
        <v>0.0022</v>
      </c>
      <c r="K10" s="176" t="s">
        <v>465</v>
      </c>
      <c r="L10" s="177">
        <f>L8*2</f>
        <v>909.090909090909</v>
      </c>
    </row>
    <row r="11" spans="1:7" ht="15">
      <c r="A11" s="171">
        <v>0.5</v>
      </c>
      <c r="B11" s="172">
        <v>1</v>
      </c>
      <c r="C11" s="172" t="s">
        <v>428</v>
      </c>
      <c r="D11" s="171">
        <f>A11/B11</f>
        <v>0.5</v>
      </c>
      <c r="E11" s="172" t="s">
        <v>275</v>
      </c>
      <c r="F11" s="172" t="s">
        <v>417</v>
      </c>
      <c r="G11" s="173">
        <f t="shared" si="0"/>
        <v>0.0011</v>
      </c>
    </row>
    <row r="12" spans="4:7" ht="15">
      <c r="D12" s="171">
        <v>0.28</v>
      </c>
      <c r="E12" s="172" t="s">
        <v>329</v>
      </c>
      <c r="F12" s="172" t="s">
        <v>417</v>
      </c>
      <c r="G12" s="173">
        <f t="shared" si="0"/>
        <v>0.0006160000000000001</v>
      </c>
    </row>
    <row r="13" spans="1:7" ht="15">
      <c r="A13" s="171">
        <v>33</v>
      </c>
      <c r="B13" s="172">
        <v>100</v>
      </c>
      <c r="C13" s="172" t="s">
        <v>428</v>
      </c>
      <c r="D13" s="171">
        <f>A13/B13</f>
        <v>0.33</v>
      </c>
      <c r="E13" s="172" t="s">
        <v>286</v>
      </c>
      <c r="F13" s="172" t="s">
        <v>417</v>
      </c>
      <c r="G13" s="173">
        <f t="shared" si="0"/>
        <v>0.0007260000000000001</v>
      </c>
    </row>
    <row r="14" spans="4:7" ht="15">
      <c r="D14" s="171">
        <v>1</v>
      </c>
      <c r="E14" s="172" t="s">
        <v>287</v>
      </c>
      <c r="F14" s="172" t="s">
        <v>417</v>
      </c>
      <c r="G14" s="173">
        <f t="shared" si="0"/>
        <v>0.0022</v>
      </c>
    </row>
    <row r="15" spans="4:7" ht="15">
      <c r="D15" s="171">
        <v>3.5</v>
      </c>
      <c r="E15" s="172" t="s">
        <v>338</v>
      </c>
      <c r="F15" s="172" t="s">
        <v>417</v>
      </c>
      <c r="G15" s="173">
        <f t="shared" si="0"/>
        <v>0.007700000000000001</v>
      </c>
    </row>
    <row r="16" spans="4:7" ht="15">
      <c r="D16" s="171">
        <v>1.6</v>
      </c>
      <c r="E16" s="172" t="s">
        <v>351</v>
      </c>
      <c r="F16" s="172" t="s">
        <v>417</v>
      </c>
      <c r="G16" s="173">
        <f t="shared" si="0"/>
        <v>0.0035200000000000006</v>
      </c>
    </row>
    <row r="17" spans="1:7" ht="15">
      <c r="A17" s="171">
        <v>1</v>
      </c>
      <c r="B17" s="172">
        <v>1</v>
      </c>
      <c r="C17" s="172" t="s">
        <v>428</v>
      </c>
      <c r="D17" s="171">
        <f>A17/B17</f>
        <v>1</v>
      </c>
      <c r="E17" s="172" t="s">
        <v>272</v>
      </c>
      <c r="F17" s="172" t="s">
        <v>417</v>
      </c>
      <c r="G17" s="173">
        <f t="shared" si="0"/>
        <v>0.0022</v>
      </c>
    </row>
    <row r="18" spans="1:7" ht="15">
      <c r="A18" s="171">
        <v>20</v>
      </c>
      <c r="B18" s="172">
        <v>30</v>
      </c>
      <c r="C18" s="172" t="s">
        <v>428</v>
      </c>
      <c r="D18" s="171">
        <f>A18/B18</f>
        <v>0.6666666666666666</v>
      </c>
      <c r="E18" s="172" t="s">
        <v>265</v>
      </c>
      <c r="F18" s="172" t="s">
        <v>417</v>
      </c>
      <c r="G18" s="173">
        <f t="shared" si="0"/>
        <v>0.0014666666666666667</v>
      </c>
    </row>
    <row r="19" spans="1:7" ht="15">
      <c r="A19" s="171">
        <v>14.11</v>
      </c>
      <c r="B19" s="172">
        <v>5</v>
      </c>
      <c r="C19" s="172" t="s">
        <v>428</v>
      </c>
      <c r="D19" s="171">
        <f>A19/B19</f>
        <v>2.822</v>
      </c>
      <c r="E19" s="172" t="s">
        <v>344</v>
      </c>
      <c r="F19" s="172" t="s">
        <v>417</v>
      </c>
      <c r="G19" s="173">
        <f t="shared" si="0"/>
        <v>0.006208400000000001</v>
      </c>
    </row>
    <row r="20" spans="4:7" ht="15">
      <c r="D20" s="171">
        <v>1</v>
      </c>
      <c r="E20" s="172" t="s">
        <v>261</v>
      </c>
      <c r="F20" s="172" t="s">
        <v>417</v>
      </c>
      <c r="G20" s="173">
        <f t="shared" si="0"/>
        <v>0.0022</v>
      </c>
    </row>
    <row r="21" spans="4:7" ht="15">
      <c r="D21" s="171">
        <v>1</v>
      </c>
      <c r="E21" s="172" t="s">
        <v>288</v>
      </c>
      <c r="F21" s="172" t="s">
        <v>417</v>
      </c>
      <c r="G21" s="173">
        <f t="shared" si="0"/>
        <v>0.0022</v>
      </c>
    </row>
    <row r="22" spans="4:7" ht="15">
      <c r="D22" s="171">
        <v>1</v>
      </c>
      <c r="E22" s="178" t="s">
        <v>297</v>
      </c>
      <c r="F22" s="172" t="s">
        <v>283</v>
      </c>
      <c r="G22" s="173">
        <f>D22</f>
        <v>1</v>
      </c>
    </row>
    <row r="23" spans="1:7" ht="15">
      <c r="A23" s="171">
        <v>0.5</v>
      </c>
      <c r="B23" s="172">
        <v>1</v>
      </c>
      <c r="C23" s="172" t="s">
        <v>428</v>
      </c>
      <c r="D23" s="171">
        <f>A23/B23</f>
        <v>0.5</v>
      </c>
      <c r="E23" s="172" t="s">
        <v>274</v>
      </c>
      <c r="F23" s="172" t="s">
        <v>417</v>
      </c>
      <c r="G23" s="173">
        <f t="shared" si="0"/>
        <v>0.0011</v>
      </c>
    </row>
    <row r="24" spans="1:7" ht="15">
      <c r="A24" s="171">
        <v>1.7</v>
      </c>
      <c r="B24" s="172">
        <v>3</v>
      </c>
      <c r="C24" s="172" t="s">
        <v>285</v>
      </c>
      <c r="D24" s="171">
        <f>A24/B24</f>
        <v>0.5666666666666667</v>
      </c>
      <c r="E24" s="172" t="s">
        <v>334</v>
      </c>
      <c r="F24" s="172" t="s">
        <v>417</v>
      </c>
      <c r="G24" s="173">
        <f>D24/$L$10</f>
        <v>0.0006233333333333334</v>
      </c>
    </row>
    <row r="25" spans="4:7" ht="15">
      <c r="D25" s="171">
        <v>1.8</v>
      </c>
      <c r="E25" s="172" t="s">
        <v>356</v>
      </c>
      <c r="F25" s="172" t="s">
        <v>417</v>
      </c>
      <c r="G25" s="173">
        <f t="shared" si="0"/>
        <v>0.003960000000000001</v>
      </c>
    </row>
    <row r="26" spans="1:7" ht="15">
      <c r="A26" s="171">
        <v>1.6</v>
      </c>
      <c r="B26" s="172">
        <v>1</v>
      </c>
      <c r="C26" s="172" t="s">
        <v>428</v>
      </c>
      <c r="D26" s="171">
        <f>A26/B26</f>
        <v>1.6</v>
      </c>
      <c r="E26" s="172" t="s">
        <v>293</v>
      </c>
      <c r="F26" s="172" t="s">
        <v>417</v>
      </c>
      <c r="G26" s="173">
        <f t="shared" si="0"/>
        <v>0.0035200000000000006</v>
      </c>
    </row>
    <row r="27" spans="4:7" ht="15">
      <c r="D27" s="171">
        <v>0.2</v>
      </c>
      <c r="E27" s="172" t="s">
        <v>335</v>
      </c>
      <c r="F27" s="172" t="s">
        <v>283</v>
      </c>
      <c r="G27" s="173">
        <f>D27</f>
        <v>0.2</v>
      </c>
    </row>
    <row r="28" spans="4:7" ht="15">
      <c r="D28" s="171">
        <v>1.8</v>
      </c>
      <c r="E28" s="172" t="s">
        <v>349</v>
      </c>
      <c r="F28" s="172" t="s">
        <v>417</v>
      </c>
      <c r="G28" s="173">
        <f>D28/$L$8</f>
        <v>0.003960000000000001</v>
      </c>
    </row>
    <row r="29" spans="1:7" ht="15">
      <c r="A29" s="171">
        <v>0.98</v>
      </c>
      <c r="B29" s="172">
        <v>68</v>
      </c>
      <c r="C29" s="172" t="s">
        <v>284</v>
      </c>
      <c r="D29" s="171">
        <f>A29/B29</f>
        <v>0.014411764705882353</v>
      </c>
      <c r="E29" s="172" t="s">
        <v>346</v>
      </c>
      <c r="F29" s="172" t="s">
        <v>417</v>
      </c>
      <c r="G29" s="173">
        <f>D29/$L$8</f>
        <v>3.170588235294118E-05</v>
      </c>
    </row>
    <row r="30" spans="1:7" ht="15">
      <c r="A30" s="171">
        <v>0.5</v>
      </c>
      <c r="B30" s="172">
        <v>1</v>
      </c>
      <c r="C30" s="172" t="s">
        <v>428</v>
      </c>
      <c r="D30" s="171">
        <f>A30/B30</f>
        <v>0.5</v>
      </c>
      <c r="E30" s="172" t="s">
        <v>360</v>
      </c>
      <c r="F30" s="172" t="s">
        <v>417</v>
      </c>
      <c r="G30" s="173">
        <f>D30/$L$8</f>
        <v>0.0011</v>
      </c>
    </row>
    <row r="31" spans="1:7" ht="15">
      <c r="A31" s="171">
        <v>3.2</v>
      </c>
      <c r="B31" s="172">
        <v>30</v>
      </c>
      <c r="C31" s="172" t="s">
        <v>283</v>
      </c>
      <c r="D31" s="171">
        <f>A31/B31</f>
        <v>0.10666666666666667</v>
      </c>
      <c r="E31" s="172" t="s">
        <v>328</v>
      </c>
      <c r="F31" s="172" t="s">
        <v>283</v>
      </c>
      <c r="G31" s="173">
        <f>D31</f>
        <v>0.10666666666666667</v>
      </c>
    </row>
    <row r="32" spans="4:7" ht="15">
      <c r="D32" s="171">
        <v>4.3</v>
      </c>
      <c r="E32" s="172" t="s">
        <v>424</v>
      </c>
      <c r="F32" s="172" t="s">
        <v>417</v>
      </c>
      <c r="G32" s="173">
        <f>D32/$L$8</f>
        <v>0.00946</v>
      </c>
    </row>
    <row r="33" spans="4:7" ht="15">
      <c r="D33" s="171">
        <v>0.65</v>
      </c>
      <c r="E33" s="172" t="s">
        <v>282</v>
      </c>
      <c r="F33" s="172" t="s">
        <v>417</v>
      </c>
      <c r="G33" s="173">
        <f>D33/$L$10</f>
        <v>0.0007150000000000001</v>
      </c>
    </row>
    <row r="34" spans="4:7" ht="15">
      <c r="D34" s="171">
        <v>7</v>
      </c>
      <c r="E34" s="179" t="s">
        <v>379</v>
      </c>
      <c r="F34" s="172" t="s">
        <v>283</v>
      </c>
      <c r="G34" s="173">
        <f>D34</f>
        <v>7</v>
      </c>
    </row>
    <row r="35" spans="4:7" ht="15">
      <c r="D35" s="171">
        <v>1</v>
      </c>
      <c r="E35" s="179" t="s">
        <v>259</v>
      </c>
      <c r="F35" s="172" t="s">
        <v>417</v>
      </c>
      <c r="G35" s="173">
        <f>D35/$L$8</f>
        <v>0.0022</v>
      </c>
    </row>
    <row r="36" spans="1:7" ht="15">
      <c r="A36" s="171">
        <v>6</v>
      </c>
      <c r="B36" s="172">
        <v>100</v>
      </c>
      <c r="C36" s="172" t="s">
        <v>283</v>
      </c>
      <c r="D36" s="171">
        <f>A36/B36</f>
        <v>0.06</v>
      </c>
      <c r="E36" s="172" t="s">
        <v>425</v>
      </c>
      <c r="F36" s="172" t="s">
        <v>283</v>
      </c>
      <c r="G36" s="173">
        <f>D36</f>
        <v>0.06</v>
      </c>
    </row>
    <row r="37" spans="1:7" ht="15">
      <c r="A37" s="171">
        <v>6.65</v>
      </c>
      <c r="B37" s="172">
        <v>100</v>
      </c>
      <c r="C37" s="172" t="s">
        <v>283</v>
      </c>
      <c r="D37" s="171">
        <f>A37/B37</f>
        <v>0.0665</v>
      </c>
      <c r="E37" s="172" t="s">
        <v>426</v>
      </c>
      <c r="F37" s="172" t="s">
        <v>283</v>
      </c>
      <c r="G37" s="173">
        <f>D37</f>
        <v>0.0665</v>
      </c>
    </row>
    <row r="38" spans="4:7" ht="15">
      <c r="D38" s="171">
        <v>2</v>
      </c>
      <c r="E38" s="178" t="s">
        <v>369</v>
      </c>
      <c r="F38" s="172" t="s">
        <v>417</v>
      </c>
      <c r="G38" s="173">
        <f aca="true" t="shared" si="1" ref="G38:G48">D38/$L$8</f>
        <v>0.0044</v>
      </c>
    </row>
    <row r="39" spans="1:7" ht="15">
      <c r="A39" s="171">
        <v>0.81</v>
      </c>
      <c r="B39" s="172">
        <v>8</v>
      </c>
      <c r="C39" s="172" t="s">
        <v>283</v>
      </c>
      <c r="D39" s="171">
        <f>A39/B39</f>
        <v>0.10125</v>
      </c>
      <c r="E39" s="172" t="s">
        <v>429</v>
      </c>
      <c r="F39" s="172" t="s">
        <v>417</v>
      </c>
      <c r="G39" s="173">
        <f t="shared" si="1"/>
        <v>0.00022275000000000005</v>
      </c>
    </row>
    <row r="40" spans="4:7" ht="15">
      <c r="D40" s="171">
        <v>1.5</v>
      </c>
      <c r="E40" s="172" t="s">
        <v>347</v>
      </c>
      <c r="F40" s="172" t="s">
        <v>417</v>
      </c>
      <c r="G40" s="173">
        <f t="shared" si="1"/>
        <v>0.0033000000000000004</v>
      </c>
    </row>
    <row r="41" spans="4:7" ht="15">
      <c r="D41" s="171">
        <v>1.5</v>
      </c>
      <c r="E41" s="172" t="s">
        <v>353</v>
      </c>
      <c r="F41" s="172" t="s">
        <v>417</v>
      </c>
      <c r="G41" s="173">
        <f t="shared" si="1"/>
        <v>0.0033000000000000004</v>
      </c>
    </row>
    <row r="42" spans="4:7" ht="15">
      <c r="D42" s="171">
        <v>0.55</v>
      </c>
      <c r="E42" s="172" t="s">
        <v>339</v>
      </c>
      <c r="F42" s="172" t="s">
        <v>417</v>
      </c>
      <c r="G42" s="173">
        <f t="shared" si="1"/>
        <v>0.0012100000000000001</v>
      </c>
    </row>
    <row r="43" spans="1:7" ht="15">
      <c r="A43" s="171">
        <v>1.49</v>
      </c>
      <c r="B43" s="172">
        <v>200</v>
      </c>
      <c r="C43" s="172" t="s">
        <v>284</v>
      </c>
      <c r="D43" s="171">
        <f aca="true" t="shared" si="2" ref="D43:D44">A43/B43</f>
        <v>0.00745</v>
      </c>
      <c r="E43" s="172" t="s">
        <v>331</v>
      </c>
      <c r="F43" s="172" t="s">
        <v>417</v>
      </c>
      <c r="G43" s="173">
        <f t="shared" si="1"/>
        <v>1.639E-05</v>
      </c>
    </row>
    <row r="44" spans="1:7" ht="15">
      <c r="A44" s="171">
        <v>1.05</v>
      </c>
      <c r="B44" s="172">
        <v>200</v>
      </c>
      <c r="C44" s="172" t="s">
        <v>284</v>
      </c>
      <c r="D44" s="171">
        <f t="shared" si="2"/>
        <v>0.00525</v>
      </c>
      <c r="E44" s="172" t="s">
        <v>414</v>
      </c>
      <c r="F44" s="172" t="s">
        <v>417</v>
      </c>
      <c r="G44" s="173">
        <f t="shared" si="1"/>
        <v>1.1550000000000001E-05</v>
      </c>
    </row>
    <row r="45" spans="4:7" ht="15">
      <c r="D45" s="171">
        <v>1.8</v>
      </c>
      <c r="E45" s="172" t="s">
        <v>357</v>
      </c>
      <c r="F45" s="172" t="s">
        <v>417</v>
      </c>
      <c r="G45" s="173">
        <f t="shared" si="1"/>
        <v>0.003960000000000001</v>
      </c>
    </row>
    <row r="46" spans="4:7" ht="15">
      <c r="D46" s="171">
        <v>1</v>
      </c>
      <c r="E46" s="172" t="s">
        <v>333</v>
      </c>
      <c r="F46" s="172" t="s">
        <v>417</v>
      </c>
      <c r="G46" s="173">
        <f t="shared" si="1"/>
        <v>0.0022</v>
      </c>
    </row>
    <row r="47" spans="4:7" ht="15">
      <c r="D47" s="171">
        <v>8</v>
      </c>
      <c r="E47" s="172" t="s">
        <v>342</v>
      </c>
      <c r="F47" s="172" t="s">
        <v>417</v>
      </c>
      <c r="G47" s="173">
        <f t="shared" si="1"/>
        <v>0.0176</v>
      </c>
    </row>
    <row r="48" spans="1:7" ht="15">
      <c r="A48" s="171">
        <v>1.5</v>
      </c>
      <c r="B48" s="172">
        <v>1</v>
      </c>
      <c r="C48" s="172" t="s">
        <v>428</v>
      </c>
      <c r="D48" s="171">
        <f>A48/B48</f>
        <v>1.5</v>
      </c>
      <c r="E48" s="172" t="s">
        <v>355</v>
      </c>
      <c r="F48" s="172" t="s">
        <v>417</v>
      </c>
      <c r="G48" s="173">
        <f t="shared" si="1"/>
        <v>0.0033000000000000004</v>
      </c>
    </row>
    <row r="49" spans="4:7" ht="15">
      <c r="D49" s="180">
        <v>0.25</v>
      </c>
      <c r="E49" s="172" t="s">
        <v>368</v>
      </c>
      <c r="F49" s="172" t="s">
        <v>283</v>
      </c>
      <c r="G49" s="173">
        <f>D49</f>
        <v>0.25</v>
      </c>
    </row>
    <row r="50" spans="1:7" ht="15">
      <c r="A50" s="171">
        <v>20</v>
      </c>
      <c r="B50" s="172">
        <v>100</v>
      </c>
      <c r="C50" s="172" t="s">
        <v>428</v>
      </c>
      <c r="D50" s="180">
        <f>A50/B50</f>
        <v>0.2</v>
      </c>
      <c r="E50" s="172" t="s">
        <v>278</v>
      </c>
      <c r="F50" s="172" t="s">
        <v>417</v>
      </c>
      <c r="G50" s="173">
        <f aca="true" t="shared" si="3" ref="G50:G55">D50/$L$8</f>
        <v>0.00044000000000000007</v>
      </c>
    </row>
    <row r="51" spans="1:7" ht="15">
      <c r="A51" s="171">
        <v>0.5</v>
      </c>
      <c r="B51" s="172">
        <v>1</v>
      </c>
      <c r="C51" s="172" t="s">
        <v>428</v>
      </c>
      <c r="D51" s="171">
        <f>A51/B51</f>
        <v>0.5</v>
      </c>
      <c r="E51" s="172" t="s">
        <v>289</v>
      </c>
      <c r="F51" s="172" t="s">
        <v>417</v>
      </c>
      <c r="G51" s="173">
        <f t="shared" si="3"/>
        <v>0.0011</v>
      </c>
    </row>
    <row r="52" spans="1:7" ht="15">
      <c r="A52" s="171">
        <v>2.4</v>
      </c>
      <c r="B52" s="172">
        <v>1</v>
      </c>
      <c r="C52" s="172" t="s">
        <v>428</v>
      </c>
      <c r="D52" s="171">
        <f aca="true" t="shared" si="4" ref="D52:D53">A52/B52</f>
        <v>2.4</v>
      </c>
      <c r="E52" s="172" t="s">
        <v>427</v>
      </c>
      <c r="F52" s="172" t="s">
        <v>417</v>
      </c>
      <c r="G52" s="173">
        <f t="shared" si="3"/>
        <v>0.00528</v>
      </c>
    </row>
    <row r="53" spans="1:7" ht="15">
      <c r="A53" s="171">
        <v>3.4</v>
      </c>
      <c r="B53" s="172">
        <v>1</v>
      </c>
      <c r="C53" s="172" t="s">
        <v>428</v>
      </c>
      <c r="D53" s="171">
        <f t="shared" si="4"/>
        <v>3.4</v>
      </c>
      <c r="E53" s="172" t="s">
        <v>294</v>
      </c>
      <c r="F53" s="172" t="s">
        <v>417</v>
      </c>
      <c r="G53" s="173">
        <f t="shared" si="3"/>
        <v>0.0074800000000000005</v>
      </c>
    </row>
    <row r="54" spans="4:7" ht="15">
      <c r="D54" s="171">
        <v>2.5</v>
      </c>
      <c r="E54" s="172" t="s">
        <v>326</v>
      </c>
      <c r="F54" s="172" t="s">
        <v>417</v>
      </c>
      <c r="G54" s="173">
        <f t="shared" si="3"/>
        <v>0.0055000000000000005</v>
      </c>
    </row>
    <row r="55" spans="1:7" ht="15">
      <c r="A55" s="171">
        <v>1</v>
      </c>
      <c r="B55" s="172">
        <v>1</v>
      </c>
      <c r="C55" s="172" t="s">
        <v>428</v>
      </c>
      <c r="D55" s="180">
        <f>A55/B55</f>
        <v>1</v>
      </c>
      <c r="E55" s="172" t="s">
        <v>336</v>
      </c>
      <c r="F55" s="172" t="s">
        <v>417</v>
      </c>
      <c r="G55" s="173">
        <f t="shared" si="3"/>
        <v>0.0022</v>
      </c>
    </row>
    <row r="56" spans="4:7" ht="15">
      <c r="D56" s="171">
        <v>2.8</v>
      </c>
      <c r="E56" s="172" t="s">
        <v>372</v>
      </c>
      <c r="F56" s="172" t="s">
        <v>283</v>
      </c>
      <c r="G56" s="173">
        <f>D56</f>
        <v>2.8</v>
      </c>
    </row>
    <row r="57" spans="4:7" ht="15">
      <c r="D57" s="171">
        <v>1</v>
      </c>
      <c r="E57" s="172" t="s">
        <v>260</v>
      </c>
      <c r="F57" s="172" t="s">
        <v>417</v>
      </c>
      <c r="G57" s="173">
        <f aca="true" t="shared" si="5" ref="G57:G64">D57/$L$8</f>
        <v>0.0022</v>
      </c>
    </row>
    <row r="58" spans="1:7" ht="15">
      <c r="A58" s="171">
        <v>3.2</v>
      </c>
      <c r="B58" s="172">
        <v>1</v>
      </c>
      <c r="C58" s="172" t="s">
        <v>428</v>
      </c>
      <c r="D58" s="180">
        <f>A58/B58</f>
        <v>3.2</v>
      </c>
      <c r="E58" s="172" t="s">
        <v>291</v>
      </c>
      <c r="F58" s="172" t="s">
        <v>417</v>
      </c>
      <c r="G58" s="173">
        <f t="shared" si="5"/>
        <v>0.007040000000000001</v>
      </c>
    </row>
    <row r="59" spans="1:7" ht="15">
      <c r="A59" s="171">
        <v>0.7</v>
      </c>
      <c r="B59" s="172">
        <v>1</v>
      </c>
      <c r="C59" s="172" t="s">
        <v>428</v>
      </c>
      <c r="D59" s="180">
        <f>A59/B59</f>
        <v>0.7</v>
      </c>
      <c r="E59" s="172" t="s">
        <v>262</v>
      </c>
      <c r="F59" s="172" t="s">
        <v>417</v>
      </c>
      <c r="G59" s="173">
        <f t="shared" si="5"/>
        <v>0.0015400000000000001</v>
      </c>
    </row>
    <row r="60" spans="4:7" ht="15">
      <c r="D60" s="171">
        <v>1.8</v>
      </c>
      <c r="E60" s="172" t="s">
        <v>415</v>
      </c>
      <c r="F60" s="172" t="s">
        <v>417</v>
      </c>
      <c r="G60" s="173">
        <f t="shared" si="5"/>
        <v>0.003960000000000001</v>
      </c>
    </row>
    <row r="61" spans="1:7" ht="15">
      <c r="A61" s="171">
        <v>1.35</v>
      </c>
      <c r="B61" s="172">
        <v>395</v>
      </c>
      <c r="C61" s="172" t="s">
        <v>284</v>
      </c>
      <c r="D61" s="180">
        <f>A61/B61</f>
        <v>0.003417721518987342</v>
      </c>
      <c r="E61" s="172" t="s">
        <v>323</v>
      </c>
      <c r="F61" s="172" t="s">
        <v>417</v>
      </c>
      <c r="G61" s="173">
        <f t="shared" si="5"/>
        <v>7.518987341772154E-06</v>
      </c>
    </row>
    <row r="62" spans="4:7" ht="15">
      <c r="D62" s="171">
        <v>6</v>
      </c>
      <c r="E62" s="172" t="s">
        <v>276</v>
      </c>
      <c r="F62" s="172" t="s">
        <v>417</v>
      </c>
      <c r="G62" s="173">
        <f t="shared" si="5"/>
        <v>0.013200000000000002</v>
      </c>
    </row>
    <row r="63" spans="1:7" ht="15">
      <c r="A63" s="171">
        <v>0.89</v>
      </c>
      <c r="B63" s="172">
        <v>70</v>
      </c>
      <c r="C63" s="172" t="s">
        <v>284</v>
      </c>
      <c r="D63" s="180">
        <f>A63/B63</f>
        <v>0.012714285714285714</v>
      </c>
      <c r="E63" s="172" t="s">
        <v>373</v>
      </c>
      <c r="F63" s="172" t="s">
        <v>417</v>
      </c>
      <c r="G63" s="173">
        <f t="shared" si="5"/>
        <v>2.7971428571428573E-05</v>
      </c>
    </row>
    <row r="64" spans="4:7" ht="15">
      <c r="D64" s="171">
        <v>0.7</v>
      </c>
      <c r="E64" s="172" t="s">
        <v>271</v>
      </c>
      <c r="F64" s="172" t="s">
        <v>417</v>
      </c>
      <c r="G64" s="173">
        <f t="shared" si="5"/>
        <v>0.0015400000000000001</v>
      </c>
    </row>
    <row r="65" spans="4:7" ht="15">
      <c r="D65" s="171">
        <v>0.05</v>
      </c>
      <c r="E65" s="172" t="s">
        <v>359</v>
      </c>
      <c r="F65" s="172" t="s">
        <v>283</v>
      </c>
      <c r="G65" s="173">
        <f>D65</f>
        <v>0.05</v>
      </c>
    </row>
    <row r="66" spans="4:7" ht="15">
      <c r="D66" s="171">
        <v>12</v>
      </c>
      <c r="E66" s="172" t="s">
        <v>367</v>
      </c>
      <c r="F66" s="172" t="s">
        <v>417</v>
      </c>
      <c r="G66" s="173">
        <f>D66/$L$8</f>
        <v>0.026400000000000003</v>
      </c>
    </row>
    <row r="67" spans="4:7" ht="15">
      <c r="D67" s="171">
        <v>1</v>
      </c>
      <c r="E67" s="172" t="s">
        <v>378</v>
      </c>
      <c r="F67" s="172" t="s">
        <v>417</v>
      </c>
      <c r="G67" s="173">
        <f>D67/$L$8</f>
        <v>0.0022</v>
      </c>
    </row>
    <row r="70" spans="4:7" ht="15">
      <c r="D70" s="171">
        <v>0.5</v>
      </c>
      <c r="E70" s="172" t="s">
        <v>431</v>
      </c>
      <c r="F70" s="172" t="s">
        <v>285</v>
      </c>
      <c r="G70" s="173">
        <f>D70/$L$10</f>
        <v>0.00055</v>
      </c>
    </row>
    <row r="71" spans="4:7" ht="15">
      <c r="D71" s="171">
        <v>0.4</v>
      </c>
      <c r="E71" s="172" t="s">
        <v>298</v>
      </c>
      <c r="F71" s="172" t="s">
        <v>417</v>
      </c>
      <c r="G71" s="173">
        <f aca="true" t="shared" si="6" ref="G71:G96">D71/$L$8</f>
        <v>0.0008800000000000001</v>
      </c>
    </row>
    <row r="72" spans="4:7" ht="15">
      <c r="D72" s="171">
        <v>0.35</v>
      </c>
      <c r="E72" s="172" t="s">
        <v>305</v>
      </c>
      <c r="F72" s="172" t="s">
        <v>417</v>
      </c>
      <c r="G72" s="173">
        <f t="shared" si="6"/>
        <v>0.0007700000000000001</v>
      </c>
    </row>
    <row r="73" spans="4:7" ht="15">
      <c r="D73" s="171">
        <v>2</v>
      </c>
      <c r="E73" s="172" t="s">
        <v>401</v>
      </c>
      <c r="F73" s="172" t="s">
        <v>417</v>
      </c>
      <c r="G73" s="173">
        <f t="shared" si="6"/>
        <v>0.0044</v>
      </c>
    </row>
    <row r="74" spans="4:7" ht="15">
      <c r="D74" s="171">
        <v>6</v>
      </c>
      <c r="E74" s="172" t="s">
        <v>308</v>
      </c>
      <c r="F74" s="172" t="s">
        <v>417</v>
      </c>
      <c r="G74" s="173">
        <f t="shared" si="6"/>
        <v>0.013200000000000002</v>
      </c>
    </row>
    <row r="75" spans="4:7" ht="15">
      <c r="D75" s="171">
        <v>1</v>
      </c>
      <c r="E75" s="172" t="s">
        <v>302</v>
      </c>
      <c r="F75" s="172" t="s">
        <v>417</v>
      </c>
      <c r="G75" s="173">
        <f t="shared" si="6"/>
        <v>0.0022</v>
      </c>
    </row>
    <row r="76" spans="4:7" ht="15">
      <c r="D76" s="171">
        <v>1</v>
      </c>
      <c r="E76" s="172" t="s">
        <v>402</v>
      </c>
      <c r="F76" s="172" t="s">
        <v>417</v>
      </c>
      <c r="G76" s="173">
        <f t="shared" si="6"/>
        <v>0.0022</v>
      </c>
    </row>
    <row r="77" spans="4:7" ht="15">
      <c r="D77" s="171">
        <v>1.5</v>
      </c>
      <c r="E77" s="172" t="s">
        <v>390</v>
      </c>
      <c r="F77" s="172" t="s">
        <v>417</v>
      </c>
      <c r="G77" s="173">
        <f>D77/$L$10</f>
        <v>0.0016500000000000002</v>
      </c>
    </row>
    <row r="78" spans="4:7" ht="15">
      <c r="D78" s="171">
        <v>6</v>
      </c>
      <c r="E78" s="172" t="s">
        <v>435</v>
      </c>
      <c r="F78" s="172" t="s">
        <v>283</v>
      </c>
      <c r="G78" s="173">
        <f>D78</f>
        <v>6</v>
      </c>
    </row>
    <row r="79" spans="4:7" ht="15">
      <c r="D79" s="171">
        <v>1</v>
      </c>
      <c r="E79" s="172" t="s">
        <v>396</v>
      </c>
      <c r="F79" s="172" t="s">
        <v>417</v>
      </c>
      <c r="G79" s="173">
        <f t="shared" si="6"/>
        <v>0.0022</v>
      </c>
    </row>
    <row r="80" spans="4:7" ht="15">
      <c r="D80" s="171">
        <v>1.5</v>
      </c>
      <c r="E80" s="172" t="s">
        <v>403</v>
      </c>
      <c r="F80" s="172" t="s">
        <v>417</v>
      </c>
      <c r="G80" s="173">
        <f t="shared" si="6"/>
        <v>0.0033000000000000004</v>
      </c>
    </row>
    <row r="81" spans="4:7" ht="15">
      <c r="D81" s="171">
        <v>1</v>
      </c>
      <c r="E81" s="172" t="s">
        <v>432</v>
      </c>
      <c r="F81" s="172" t="s">
        <v>417</v>
      </c>
      <c r="G81" s="173">
        <f t="shared" si="6"/>
        <v>0.0022</v>
      </c>
    </row>
    <row r="82" spans="4:7" ht="15">
      <c r="D82" s="171">
        <v>1</v>
      </c>
      <c r="E82" s="172" t="s">
        <v>301</v>
      </c>
      <c r="F82" s="172" t="s">
        <v>417</v>
      </c>
      <c r="G82" s="173">
        <f t="shared" si="6"/>
        <v>0.0022</v>
      </c>
    </row>
    <row r="83" spans="4:7" ht="15">
      <c r="D83" s="171">
        <v>1.5</v>
      </c>
      <c r="E83" s="172" t="s">
        <v>303</v>
      </c>
      <c r="F83" s="172" t="s">
        <v>417</v>
      </c>
      <c r="G83" s="173">
        <f t="shared" si="6"/>
        <v>0.0033000000000000004</v>
      </c>
    </row>
    <row r="84" spans="4:7" ht="15">
      <c r="D84" s="171">
        <v>1</v>
      </c>
      <c r="E84" s="172" t="s">
        <v>394</v>
      </c>
      <c r="F84" s="172" t="s">
        <v>283</v>
      </c>
      <c r="G84" s="173">
        <f t="shared" si="6"/>
        <v>0.0022</v>
      </c>
    </row>
    <row r="85" spans="4:7" ht="15">
      <c r="D85" s="171">
        <v>1</v>
      </c>
      <c r="E85" s="172" t="s">
        <v>433</v>
      </c>
      <c r="F85" s="172" t="s">
        <v>417</v>
      </c>
      <c r="G85" s="173">
        <f t="shared" si="6"/>
        <v>0.0022</v>
      </c>
    </row>
    <row r="86" spans="4:7" ht="15">
      <c r="D86" s="171">
        <v>1</v>
      </c>
      <c r="E86" s="172" t="s">
        <v>300</v>
      </c>
      <c r="F86" s="172" t="s">
        <v>417</v>
      </c>
      <c r="G86" s="173">
        <f t="shared" si="6"/>
        <v>0.0022</v>
      </c>
    </row>
    <row r="87" spans="4:7" ht="15">
      <c r="D87" s="171">
        <v>0.12</v>
      </c>
      <c r="E87" s="172" t="s">
        <v>436</v>
      </c>
      <c r="F87" s="172" t="s">
        <v>283</v>
      </c>
      <c r="G87" s="173">
        <f>D87</f>
        <v>0.12</v>
      </c>
    </row>
    <row r="88" spans="4:7" ht="15">
      <c r="D88" s="171">
        <v>1</v>
      </c>
      <c r="E88" s="172" t="s">
        <v>398</v>
      </c>
      <c r="F88" s="172" t="s">
        <v>417</v>
      </c>
      <c r="G88" s="173">
        <f t="shared" si="6"/>
        <v>0.0022</v>
      </c>
    </row>
    <row r="89" spans="4:7" ht="15">
      <c r="D89" s="171">
        <v>1</v>
      </c>
      <c r="E89" s="172" t="s">
        <v>393</v>
      </c>
      <c r="F89" s="172" t="s">
        <v>417</v>
      </c>
      <c r="G89" s="173">
        <f t="shared" si="6"/>
        <v>0.0022</v>
      </c>
    </row>
    <row r="90" spans="4:7" ht="15">
      <c r="D90" s="171">
        <v>1</v>
      </c>
      <c r="E90" s="172" t="s">
        <v>392</v>
      </c>
      <c r="F90" s="172" t="s">
        <v>417</v>
      </c>
      <c r="G90" s="173">
        <f t="shared" si="6"/>
        <v>0.0022</v>
      </c>
    </row>
    <row r="91" spans="4:7" ht="15">
      <c r="D91" s="171">
        <v>1</v>
      </c>
      <c r="E91" s="172" t="s">
        <v>397</v>
      </c>
      <c r="F91" s="172" t="s">
        <v>417</v>
      </c>
      <c r="G91" s="173">
        <f t="shared" si="6"/>
        <v>0.0022</v>
      </c>
    </row>
    <row r="92" spans="4:7" ht="15">
      <c r="D92" s="171">
        <v>1</v>
      </c>
      <c r="E92" s="172" t="s">
        <v>434</v>
      </c>
      <c r="F92" s="172" t="s">
        <v>417</v>
      </c>
      <c r="G92" s="173">
        <f t="shared" si="6"/>
        <v>0.0022</v>
      </c>
    </row>
    <row r="93" spans="4:7" ht="15">
      <c r="D93" s="171">
        <v>3.5</v>
      </c>
      <c r="E93" s="172" t="s">
        <v>441</v>
      </c>
      <c r="F93" s="172" t="s">
        <v>283</v>
      </c>
      <c r="G93" s="173">
        <f>D93</f>
        <v>3.5</v>
      </c>
    </row>
    <row r="94" spans="4:7" ht="15">
      <c r="D94" s="171">
        <v>1</v>
      </c>
      <c r="E94" s="172" t="s">
        <v>395</v>
      </c>
      <c r="F94" s="172" t="s">
        <v>417</v>
      </c>
      <c r="G94" s="173">
        <f t="shared" si="6"/>
        <v>0.0022</v>
      </c>
    </row>
    <row r="95" spans="4:7" ht="15">
      <c r="D95" s="171">
        <v>5</v>
      </c>
      <c r="E95" s="172" t="s">
        <v>399</v>
      </c>
      <c r="F95" s="172" t="s">
        <v>417</v>
      </c>
      <c r="G95" s="173">
        <f t="shared" si="6"/>
        <v>0.011000000000000001</v>
      </c>
    </row>
    <row r="96" spans="4:7" ht="15">
      <c r="D96" s="171">
        <v>0.5</v>
      </c>
      <c r="E96" s="172" t="s">
        <v>437</v>
      </c>
      <c r="F96" s="172" t="s">
        <v>417</v>
      </c>
      <c r="G96" s="173">
        <f t="shared" si="6"/>
        <v>0.0011</v>
      </c>
    </row>
  </sheetData>
  <sheetProtection password="ABD7" sheet="1" objects="1" scenarios="1"/>
  <protectedRanges>
    <protectedRange sqref="D3:D96" name="Rango1"/>
  </protectedRange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portrait" scale="4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>
    <tabColor rgb="FF0000FF"/>
    <pageSetUpPr fitToPage="1"/>
  </sheetPr>
  <dimension ref="B2:G49"/>
  <sheetViews>
    <sheetView workbookViewId="0" topLeftCell="A1">
      <selection activeCell="B2" sqref="B2:G3"/>
    </sheetView>
  </sheetViews>
  <sheetFormatPr defaultColWidth="11.421875" defaultRowHeight="15"/>
  <cols>
    <col min="1" max="1" width="3.140625" style="182" customWidth="1"/>
    <col min="2" max="2" width="20.421875" style="182" customWidth="1"/>
    <col min="3" max="3" width="1.421875" style="182" customWidth="1"/>
    <col min="4" max="4" width="29.00390625" style="182" customWidth="1"/>
    <col min="5" max="5" width="22.28125" style="182" customWidth="1"/>
    <col min="6" max="6" width="1.8515625" style="182" customWidth="1"/>
    <col min="7" max="7" width="18.421875" style="182" customWidth="1"/>
    <col min="8" max="16384" width="11.421875" style="182" customWidth="1"/>
  </cols>
  <sheetData>
    <row r="1" ht="15.75" thickBot="1"/>
    <row r="2" spans="2:7" ht="15" customHeight="1" thickTop="1">
      <c r="B2" s="368" t="s">
        <v>245</v>
      </c>
      <c r="C2" s="369"/>
      <c r="D2" s="369"/>
      <c r="E2" s="369"/>
      <c r="F2" s="369"/>
      <c r="G2" s="370"/>
    </row>
    <row r="3" spans="2:7" ht="15" customHeight="1">
      <c r="B3" s="371"/>
      <c r="C3" s="372"/>
      <c r="D3" s="372"/>
      <c r="E3" s="372"/>
      <c r="F3" s="372"/>
      <c r="G3" s="373"/>
    </row>
    <row r="4" spans="2:7" ht="23.25" customHeight="1" thickBot="1">
      <c r="B4" s="374" t="s">
        <v>246</v>
      </c>
      <c r="C4" s="375"/>
      <c r="D4" s="375"/>
      <c r="E4" s="375"/>
      <c r="F4" s="375"/>
      <c r="G4" s="376"/>
    </row>
    <row r="5" spans="2:7" ht="19.5" customHeight="1" thickTop="1">
      <c r="B5" s="388" t="s">
        <v>321</v>
      </c>
      <c r="C5" s="389"/>
      <c r="D5" s="389"/>
      <c r="E5" s="389"/>
      <c r="F5" s="389"/>
      <c r="G5" s="390"/>
    </row>
    <row r="6" spans="2:7" ht="16.5" thickBot="1">
      <c r="B6" s="183"/>
      <c r="C6" s="184"/>
      <c r="D6" s="185"/>
      <c r="E6" s="186" t="s">
        <v>130</v>
      </c>
      <c r="F6" s="185"/>
      <c r="G6" s="187">
        <v>506</v>
      </c>
    </row>
    <row r="7" spans="2:7" ht="15.75" thickTop="1">
      <c r="B7" s="188"/>
      <c r="C7" s="189"/>
      <c r="D7" s="189"/>
      <c r="E7" s="189"/>
      <c r="F7" s="189"/>
      <c r="G7" s="190"/>
    </row>
    <row r="8" spans="2:7" ht="15">
      <c r="B8" s="191" t="s">
        <v>20</v>
      </c>
      <c r="C8" s="192" t="s">
        <v>21</v>
      </c>
      <c r="D8" s="193" t="s">
        <v>457</v>
      </c>
      <c r="E8" s="192" t="s">
        <v>2</v>
      </c>
      <c r="F8" s="192" t="s">
        <v>21</v>
      </c>
      <c r="G8" s="194" t="s">
        <v>458</v>
      </c>
    </row>
    <row r="9" spans="2:7" ht="15">
      <c r="B9" s="191" t="s">
        <v>448</v>
      </c>
      <c r="C9" s="192" t="s">
        <v>21</v>
      </c>
      <c r="D9" s="195">
        <v>100758239</v>
      </c>
      <c r="E9" s="192" t="s">
        <v>3</v>
      </c>
      <c r="F9" s="192" t="s">
        <v>21</v>
      </c>
      <c r="G9" s="194" t="s">
        <v>464</v>
      </c>
    </row>
    <row r="10" spans="2:7" ht="15">
      <c r="B10" s="191" t="s">
        <v>316</v>
      </c>
      <c r="C10" s="192" t="s">
        <v>21</v>
      </c>
      <c r="D10" s="196">
        <v>93271179</v>
      </c>
      <c r="E10" s="192" t="s">
        <v>4</v>
      </c>
      <c r="F10" s="192" t="s">
        <v>21</v>
      </c>
      <c r="G10" s="197" t="s">
        <v>249</v>
      </c>
    </row>
    <row r="11" spans="2:7" ht="15">
      <c r="B11" s="191" t="s">
        <v>19</v>
      </c>
      <c r="C11" s="192" t="s">
        <v>21</v>
      </c>
      <c r="D11" s="196" t="s">
        <v>452</v>
      </c>
      <c r="E11" s="192" t="s">
        <v>5</v>
      </c>
      <c r="F11" s="192" t="s">
        <v>21</v>
      </c>
      <c r="G11" s="198">
        <v>0.8125</v>
      </c>
    </row>
    <row r="12" spans="2:7" ht="15">
      <c r="B12" s="191" t="s">
        <v>27</v>
      </c>
      <c r="C12" s="192" t="s">
        <v>21</v>
      </c>
      <c r="D12" s="196" t="s">
        <v>463</v>
      </c>
      <c r="E12" s="192" t="s">
        <v>6</v>
      </c>
      <c r="F12" s="192" t="s">
        <v>21</v>
      </c>
      <c r="G12" s="198">
        <v>0.875</v>
      </c>
    </row>
    <row r="13" spans="2:7" ht="30">
      <c r="B13" s="191" t="s">
        <v>233</v>
      </c>
      <c r="C13" s="192" t="s">
        <v>21</v>
      </c>
      <c r="D13" s="199" t="s">
        <v>449</v>
      </c>
      <c r="E13" s="200" t="s">
        <v>26</v>
      </c>
      <c r="F13" s="192" t="s">
        <v>21</v>
      </c>
      <c r="G13" s="201" t="s">
        <v>250</v>
      </c>
    </row>
    <row r="14" spans="2:7" ht="15.75" thickBot="1">
      <c r="B14" s="183"/>
      <c r="C14" s="185"/>
      <c r="D14" s="185"/>
      <c r="E14" s="185"/>
      <c r="F14" s="185"/>
      <c r="G14" s="202"/>
    </row>
    <row r="15" spans="2:7" ht="15.75" thickTop="1">
      <c r="B15" s="392" t="s">
        <v>239</v>
      </c>
      <c r="C15" s="393"/>
      <c r="D15" s="393"/>
      <c r="E15" s="393"/>
      <c r="F15" s="393"/>
      <c r="G15" s="394"/>
    </row>
    <row r="16" spans="2:7" ht="15.75" thickBot="1">
      <c r="B16" s="395"/>
      <c r="C16" s="396"/>
      <c r="D16" s="396"/>
      <c r="E16" s="396"/>
      <c r="F16" s="396"/>
      <c r="G16" s="397"/>
    </row>
    <row r="17" spans="2:7" ht="15.75" thickTop="1">
      <c r="B17" s="188"/>
      <c r="C17" s="189"/>
      <c r="D17" s="189"/>
      <c r="E17" s="189"/>
      <c r="F17" s="189"/>
      <c r="G17" s="190"/>
    </row>
    <row r="18" spans="2:7" ht="18.75" customHeight="1">
      <c r="B18" s="203" t="s">
        <v>7</v>
      </c>
      <c r="C18" s="204" t="s">
        <v>21</v>
      </c>
      <c r="D18" s="366"/>
      <c r="E18" s="366"/>
      <c r="F18" s="366"/>
      <c r="G18" s="367"/>
    </row>
    <row r="19" spans="2:7" ht="18.75" customHeight="1">
      <c r="B19" s="203" t="s">
        <v>12</v>
      </c>
      <c r="C19" s="204" t="s">
        <v>21</v>
      </c>
      <c r="D19" s="366"/>
      <c r="E19" s="366"/>
      <c r="F19" s="366"/>
      <c r="G19" s="367"/>
    </row>
    <row r="20" spans="2:7" ht="18.75" customHeight="1">
      <c r="B20" s="203" t="s">
        <v>8</v>
      </c>
      <c r="C20" s="204" t="s">
        <v>21</v>
      </c>
      <c r="D20" s="366"/>
      <c r="E20" s="366"/>
      <c r="F20" s="366"/>
      <c r="G20" s="367"/>
    </row>
    <row r="21" spans="2:7" ht="18.75" customHeight="1">
      <c r="B21" s="203" t="s">
        <v>9</v>
      </c>
      <c r="C21" s="204" t="s">
        <v>21</v>
      </c>
      <c r="D21" s="366"/>
      <c r="E21" s="366"/>
      <c r="F21" s="366"/>
      <c r="G21" s="367"/>
    </row>
    <row r="22" spans="2:7" ht="18.75" customHeight="1">
      <c r="B22" s="203" t="s">
        <v>10</v>
      </c>
      <c r="C22" s="204" t="s">
        <v>21</v>
      </c>
      <c r="D22" s="366"/>
      <c r="E22" s="366"/>
      <c r="F22" s="366"/>
      <c r="G22" s="367"/>
    </row>
    <row r="23" spans="2:7" ht="18.75" customHeight="1">
      <c r="B23" s="205" t="s">
        <v>11</v>
      </c>
      <c r="C23" s="206" t="s">
        <v>21</v>
      </c>
      <c r="D23" s="366"/>
      <c r="E23" s="366"/>
      <c r="F23" s="366"/>
      <c r="G23" s="367"/>
    </row>
    <row r="24" spans="2:7" ht="15.75" thickBot="1">
      <c r="B24" s="183"/>
      <c r="C24" s="185"/>
      <c r="D24" s="185"/>
      <c r="E24" s="185"/>
      <c r="F24" s="185"/>
      <c r="G24" s="202"/>
    </row>
    <row r="25" spans="2:7" ht="15.75" thickTop="1">
      <c r="B25" s="392" t="s">
        <v>13</v>
      </c>
      <c r="C25" s="393"/>
      <c r="D25" s="393"/>
      <c r="E25" s="393"/>
      <c r="F25" s="393"/>
      <c r="G25" s="394"/>
    </row>
    <row r="26" spans="2:7" ht="15.75" thickBot="1">
      <c r="B26" s="395"/>
      <c r="C26" s="396"/>
      <c r="D26" s="396"/>
      <c r="E26" s="396"/>
      <c r="F26" s="396"/>
      <c r="G26" s="397"/>
    </row>
    <row r="27" spans="2:7" ht="15.75" thickTop="1">
      <c r="B27" s="191"/>
      <c r="C27" s="192"/>
      <c r="D27" s="192"/>
      <c r="E27" s="192"/>
      <c r="F27" s="192"/>
      <c r="G27" s="207"/>
    </row>
    <row r="28" spans="2:7" ht="18.75" customHeight="1">
      <c r="B28" s="205" t="s">
        <v>205</v>
      </c>
      <c r="C28" s="206" t="s">
        <v>21</v>
      </c>
      <c r="D28" s="366"/>
      <c r="E28" s="366"/>
      <c r="F28" s="366"/>
      <c r="G28" s="367"/>
    </row>
    <row r="29" spans="2:7" ht="18.75" customHeight="1">
      <c r="B29" s="205" t="s">
        <v>14</v>
      </c>
      <c r="C29" s="206" t="s">
        <v>21</v>
      </c>
      <c r="D29" s="366"/>
      <c r="E29" s="366"/>
      <c r="F29" s="366"/>
      <c r="G29" s="367"/>
    </row>
    <row r="30" spans="2:7" ht="18.75" customHeight="1">
      <c r="B30" s="205" t="s">
        <v>15</v>
      </c>
      <c r="C30" s="206" t="s">
        <v>21</v>
      </c>
      <c r="D30" s="366"/>
      <c r="E30" s="366"/>
      <c r="F30" s="366"/>
      <c r="G30" s="367"/>
    </row>
    <row r="31" spans="2:7" ht="18.75" customHeight="1">
      <c r="B31" s="205" t="s">
        <v>206</v>
      </c>
      <c r="C31" s="206" t="s">
        <v>21</v>
      </c>
      <c r="D31" s="366"/>
      <c r="E31" s="366"/>
      <c r="F31" s="366"/>
      <c r="G31" s="367"/>
    </row>
    <row r="32" spans="2:7" ht="15.75" thickBot="1">
      <c r="B32" s="183"/>
      <c r="C32" s="185"/>
      <c r="D32" s="185"/>
      <c r="E32" s="185"/>
      <c r="F32" s="185"/>
      <c r="G32" s="202"/>
    </row>
    <row r="33" spans="2:7" ht="15.75" thickTop="1">
      <c r="B33" s="188"/>
      <c r="C33" s="189"/>
      <c r="D33" s="189"/>
      <c r="E33" s="189"/>
      <c r="F33" s="189"/>
      <c r="G33" s="190"/>
    </row>
    <row r="34" spans="2:7" ht="15">
      <c r="B34" s="203" t="s">
        <v>23</v>
      </c>
      <c r="C34" s="204" t="s">
        <v>21</v>
      </c>
      <c r="D34" s="206">
        <v>70</v>
      </c>
      <c r="E34" s="398" t="s">
        <v>237</v>
      </c>
      <c r="F34" s="398"/>
      <c r="G34" s="399"/>
    </row>
    <row r="35" spans="2:7" ht="15">
      <c r="B35" s="203" t="s">
        <v>17</v>
      </c>
      <c r="C35" s="204" t="s">
        <v>21</v>
      </c>
      <c r="D35" s="208">
        <v>4.5</v>
      </c>
      <c r="E35" s="377" t="s">
        <v>311</v>
      </c>
      <c r="F35" s="378"/>
      <c r="G35" s="379"/>
    </row>
    <row r="36" spans="2:7" ht="15.75">
      <c r="B36" s="209" t="s">
        <v>18</v>
      </c>
      <c r="C36" s="210" t="s">
        <v>21</v>
      </c>
      <c r="D36" s="211">
        <f>D35*D34</f>
        <v>315</v>
      </c>
      <c r="E36" s="380"/>
      <c r="F36" s="381"/>
      <c r="G36" s="382"/>
    </row>
    <row r="37" spans="2:7" ht="15.75">
      <c r="B37" s="212" t="s">
        <v>25</v>
      </c>
      <c r="C37" s="206" t="s">
        <v>21</v>
      </c>
      <c r="D37" s="213">
        <v>100</v>
      </c>
      <c r="E37" s="380"/>
      <c r="F37" s="381"/>
      <c r="G37" s="382"/>
    </row>
    <row r="38" spans="2:7" ht="15.75">
      <c r="B38" s="191"/>
      <c r="C38" s="192"/>
      <c r="D38" s="214">
        <v>0</v>
      </c>
      <c r="E38" s="380"/>
      <c r="F38" s="381"/>
      <c r="G38" s="382"/>
    </row>
    <row r="39" spans="2:7" ht="15.75">
      <c r="B39" s="191"/>
      <c r="C39" s="192"/>
      <c r="D39" s="214">
        <v>0</v>
      </c>
      <c r="E39" s="383"/>
      <c r="F39" s="384"/>
      <c r="G39" s="385"/>
    </row>
    <row r="40" spans="2:7" ht="15">
      <c r="B40" s="215" t="s">
        <v>24</v>
      </c>
      <c r="C40" s="216" t="s">
        <v>21</v>
      </c>
      <c r="D40" s="217">
        <f>D36-(SUM(D37:D39))</f>
        <v>215</v>
      </c>
      <c r="E40" s="218" t="s">
        <v>247</v>
      </c>
      <c r="F40" s="219" t="s">
        <v>21</v>
      </c>
      <c r="G40" s="220">
        <v>1</v>
      </c>
    </row>
    <row r="41" spans="2:7" ht="15.75" thickBot="1">
      <c r="B41" s="221"/>
      <c r="C41" s="222"/>
      <c r="D41" s="223"/>
      <c r="E41" s="185"/>
      <c r="F41" s="185"/>
      <c r="G41" s="202"/>
    </row>
    <row r="42" spans="2:7" ht="15.75" thickTop="1">
      <c r="B42" s="224"/>
      <c r="C42" s="225"/>
      <c r="D42" s="226"/>
      <c r="E42" s="192"/>
      <c r="F42" s="192"/>
      <c r="G42" s="207"/>
    </row>
    <row r="43" spans="2:7" ht="15">
      <c r="B43" s="191"/>
      <c r="C43" s="192"/>
      <c r="D43" s="192"/>
      <c r="E43" s="192"/>
      <c r="F43" s="192"/>
      <c r="G43" s="207"/>
    </row>
    <row r="44" spans="2:7" ht="15">
      <c r="B44" s="191"/>
      <c r="C44" s="192"/>
      <c r="D44" s="192"/>
      <c r="E44" s="192"/>
      <c r="F44" s="192"/>
      <c r="G44" s="207"/>
    </row>
    <row r="45" spans="2:7" ht="15">
      <c r="B45" s="191"/>
      <c r="C45" s="192"/>
      <c r="D45" s="192"/>
      <c r="E45" s="192"/>
      <c r="F45" s="192"/>
      <c r="G45" s="207"/>
    </row>
    <row r="46" spans="2:7" ht="15">
      <c r="B46" s="191"/>
      <c r="C46" s="192"/>
      <c r="D46" s="192"/>
      <c r="E46" s="192"/>
      <c r="F46" s="192"/>
      <c r="G46" s="207"/>
    </row>
    <row r="47" spans="2:7" ht="15">
      <c r="B47" s="191"/>
      <c r="C47" s="192"/>
      <c r="D47" s="192"/>
      <c r="E47" s="192"/>
      <c r="F47" s="192"/>
      <c r="G47" s="207"/>
    </row>
    <row r="48" spans="2:7" ht="15">
      <c r="B48" s="386" t="s">
        <v>238</v>
      </c>
      <c r="C48" s="387"/>
      <c r="D48" s="387"/>
      <c r="E48" s="387" t="s">
        <v>16</v>
      </c>
      <c r="F48" s="387"/>
      <c r="G48" s="391"/>
    </row>
    <row r="49" spans="2:7" ht="34.5" customHeight="1" thickBot="1">
      <c r="B49" s="363" t="s">
        <v>310</v>
      </c>
      <c r="C49" s="364"/>
      <c r="D49" s="364"/>
      <c r="E49" s="364"/>
      <c r="F49" s="364"/>
      <c r="G49" s="365"/>
    </row>
    <row r="50" ht="15.75" thickTop="1"/>
  </sheetData>
  <sheetProtection password="ABD7" sheet="1" objects="1" scenarios="1"/>
  <protectedRanges>
    <protectedRange sqref="D8:D13 G8:G13 G6 D34 D35 D37 D38 D39 G40 E35:G39" name="Rango1"/>
  </protectedRanges>
  <mergeCells count="20">
    <mergeCell ref="D21:G21"/>
    <mergeCell ref="D22:G22"/>
    <mergeCell ref="D23:G23"/>
    <mergeCell ref="E34:G34"/>
    <mergeCell ref="B49:G49"/>
    <mergeCell ref="D28:G28"/>
    <mergeCell ref="D29:G29"/>
    <mergeCell ref="B2:G3"/>
    <mergeCell ref="B4:G4"/>
    <mergeCell ref="E35:G39"/>
    <mergeCell ref="B48:D48"/>
    <mergeCell ref="B5:G5"/>
    <mergeCell ref="D31:G31"/>
    <mergeCell ref="E48:G48"/>
    <mergeCell ref="B25:G26"/>
    <mergeCell ref="B15:G16"/>
    <mergeCell ref="D18:G18"/>
    <mergeCell ref="D19:G19"/>
    <mergeCell ref="D30:G30"/>
    <mergeCell ref="D20:G20"/>
  </mergeCells>
  <printOptions/>
  <pageMargins left="1.11" right="0.35433070866141736" top="0.7480314960629921" bottom="0.31496062992125984" header="0.31496062992125984" footer="0.31496062992125984"/>
  <pageSetup fitToHeight="1" fitToWidth="1" horizontalDpi="600" verticalDpi="600" orientation="portrait" scale="8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K36"/>
  <sheetViews>
    <sheetView workbookViewId="0" topLeftCell="A1">
      <selection activeCell="C3" sqref="C3:H4"/>
    </sheetView>
  </sheetViews>
  <sheetFormatPr defaultColWidth="11.421875" defaultRowHeight="15"/>
  <cols>
    <col min="1" max="1" width="7.140625" style="259" customWidth="1"/>
    <col min="2" max="2" width="2.8515625" style="259" customWidth="1"/>
    <col min="3" max="3" width="20.421875" style="259" customWidth="1"/>
    <col min="4" max="4" width="1.421875" style="259" customWidth="1"/>
    <col min="5" max="5" width="29.00390625" style="259" customWidth="1"/>
    <col min="6" max="6" width="22.28125" style="259" customWidth="1"/>
    <col min="7" max="7" width="4.140625" style="259" customWidth="1"/>
    <col min="8" max="8" width="19.421875" style="259" customWidth="1"/>
    <col min="9" max="16384" width="11.421875" style="259" customWidth="1"/>
  </cols>
  <sheetData>
    <row r="1" spans="2:8" ht="15.75">
      <c r="B1" s="295"/>
      <c r="C1" s="295"/>
      <c r="D1" s="295"/>
      <c r="E1" s="295"/>
      <c r="F1" s="295"/>
      <c r="G1" s="295"/>
      <c r="H1" s="295"/>
    </row>
    <row r="2" spans="2:8" ht="15.75" thickBot="1">
      <c r="B2" s="296"/>
      <c r="C2" s="296"/>
      <c r="D2" s="296"/>
      <c r="E2" s="296"/>
      <c r="F2" s="296"/>
      <c r="G2" s="296"/>
      <c r="H2" s="296"/>
    </row>
    <row r="3" spans="2:8" ht="15.75" customHeight="1" thickTop="1">
      <c r="B3" s="296"/>
      <c r="C3" s="408" t="s">
        <v>1</v>
      </c>
      <c r="D3" s="409"/>
      <c r="E3" s="409"/>
      <c r="F3" s="409"/>
      <c r="G3" s="409"/>
      <c r="H3" s="410"/>
    </row>
    <row r="4" spans="2:8" ht="15" customHeight="1">
      <c r="B4" s="297"/>
      <c r="C4" s="411"/>
      <c r="D4" s="412"/>
      <c r="E4" s="412"/>
      <c r="F4" s="412"/>
      <c r="G4" s="412"/>
      <c r="H4" s="413"/>
    </row>
    <row r="5" spans="2:8" ht="15">
      <c r="B5" s="298"/>
      <c r="C5" s="191"/>
      <c r="D5" s="192"/>
      <c r="E5" s="192"/>
      <c r="F5" s="192"/>
      <c r="G5" s="192"/>
      <c r="H5" s="207"/>
    </row>
    <row r="6" spans="2:8" ht="15">
      <c r="B6" s="298"/>
      <c r="C6" s="386" t="s">
        <v>134</v>
      </c>
      <c r="D6" s="387"/>
      <c r="E6" s="387"/>
      <c r="F6" s="387"/>
      <c r="G6" s="387"/>
      <c r="H6" s="391"/>
    </row>
    <row r="7" spans="2:8" ht="16.5" thickBot="1">
      <c r="B7" s="298"/>
      <c r="C7" s="183"/>
      <c r="D7" s="185"/>
      <c r="E7" s="185"/>
      <c r="F7" s="186" t="s">
        <v>135</v>
      </c>
      <c r="G7" s="185"/>
      <c r="H7" s="299">
        <f>ORDEN!G6</f>
        <v>506</v>
      </c>
    </row>
    <row r="8" spans="2:8" ht="15.75" thickTop="1">
      <c r="B8" s="298"/>
      <c r="C8" s="188"/>
      <c r="D8" s="189"/>
      <c r="E8" s="189"/>
      <c r="F8" s="189"/>
      <c r="G8" s="189"/>
      <c r="H8" s="190"/>
    </row>
    <row r="9" spans="2:8" ht="15">
      <c r="B9" s="298"/>
      <c r="C9" s="191" t="s">
        <v>137</v>
      </c>
      <c r="D9" s="192" t="s">
        <v>21</v>
      </c>
      <c r="E9" s="193" t="str">
        <f>ORDEN!D8</f>
        <v>Sr. Iván Vivas</v>
      </c>
      <c r="F9" s="192" t="s">
        <v>2</v>
      </c>
      <c r="G9" s="192" t="s">
        <v>21</v>
      </c>
      <c r="H9" s="194" t="str">
        <f>ORDEN!G8</f>
        <v>28 de febrero</v>
      </c>
    </row>
    <row r="10" spans="2:8" ht="15">
      <c r="B10" s="300"/>
      <c r="C10" s="191" t="s">
        <v>315</v>
      </c>
      <c r="D10" s="192" t="s">
        <v>21</v>
      </c>
      <c r="E10" s="301">
        <f>ORDEN!D9</f>
        <v>100758239</v>
      </c>
      <c r="F10" s="192" t="s">
        <v>3</v>
      </c>
      <c r="G10" s="192" t="s">
        <v>21</v>
      </c>
      <c r="H10" s="194" t="str">
        <f>ORDEN!G9</f>
        <v xml:space="preserve">27 de marzo </v>
      </c>
    </row>
    <row r="11" spans="2:8" ht="15">
      <c r="B11" s="300"/>
      <c r="C11" s="191" t="s">
        <v>314</v>
      </c>
      <c r="D11" s="192" t="s">
        <v>21</v>
      </c>
      <c r="E11" s="196">
        <f>ORDEN!D10</f>
        <v>93271179</v>
      </c>
      <c r="F11" s="192" t="s">
        <v>136</v>
      </c>
      <c r="G11" s="192" t="s">
        <v>21</v>
      </c>
      <c r="H11" s="302">
        <f>ORDEN!D35</f>
        <v>4.5</v>
      </c>
    </row>
    <row r="12" spans="2:8" ht="28.5">
      <c r="B12" s="300"/>
      <c r="C12" s="191" t="s">
        <v>19</v>
      </c>
      <c r="D12" s="192" t="s">
        <v>21</v>
      </c>
      <c r="E12" s="196" t="str">
        <f>ORDEN!D11</f>
        <v>Bautizo</v>
      </c>
      <c r="F12" s="381" t="s">
        <v>231</v>
      </c>
      <c r="G12" s="192" t="s">
        <v>21</v>
      </c>
      <c r="H12" s="303" t="s">
        <v>232</v>
      </c>
    </row>
    <row r="13" spans="2:8" ht="15">
      <c r="B13" s="300"/>
      <c r="C13" s="191" t="s">
        <v>138</v>
      </c>
      <c r="D13" s="192" t="s">
        <v>21</v>
      </c>
      <c r="E13" s="196">
        <f>ORDEN!D34</f>
        <v>70</v>
      </c>
      <c r="F13" s="381"/>
      <c r="G13" s="192"/>
      <c r="H13" s="304">
        <f>(H11/H36)-1</f>
        <v>0.16691887618085932</v>
      </c>
    </row>
    <row r="14" spans="2:8" ht="15">
      <c r="B14" s="300"/>
      <c r="C14" s="191"/>
      <c r="D14" s="192"/>
      <c r="E14" s="192"/>
      <c r="F14" s="200"/>
      <c r="G14" s="192"/>
      <c r="H14" s="305"/>
    </row>
    <row r="15" spans="2:8" ht="15.75" thickBot="1">
      <c r="B15" s="298"/>
      <c r="C15" s="183"/>
      <c r="D15" s="185"/>
      <c r="E15" s="185"/>
      <c r="F15" s="185"/>
      <c r="G15" s="185"/>
      <c r="H15" s="202"/>
    </row>
    <row r="16" spans="2:8" ht="15.75" thickTop="1">
      <c r="B16" s="298"/>
      <c r="C16" s="392" t="s">
        <v>78</v>
      </c>
      <c r="D16" s="393"/>
      <c r="E16" s="393"/>
      <c r="F16" s="393"/>
      <c r="G16" s="393"/>
      <c r="H16" s="394"/>
    </row>
    <row r="17" spans="2:8" ht="15.75" thickBot="1">
      <c r="B17" s="298"/>
      <c r="C17" s="395"/>
      <c r="D17" s="396"/>
      <c r="E17" s="396"/>
      <c r="F17" s="396"/>
      <c r="G17" s="396"/>
      <c r="H17" s="397"/>
    </row>
    <row r="18" spans="2:8" ht="15.75" thickTop="1">
      <c r="B18" s="298"/>
      <c r="C18" s="188"/>
      <c r="D18" s="189"/>
      <c r="E18" s="189"/>
      <c r="F18" s="189"/>
      <c r="G18" s="189"/>
      <c r="H18" s="190"/>
    </row>
    <row r="19" spans="2:8" ht="18" customHeight="1">
      <c r="B19" s="298"/>
      <c r="C19" s="203" t="s">
        <v>7</v>
      </c>
      <c r="D19" s="204" t="s">
        <v>21</v>
      </c>
      <c r="E19" s="400"/>
      <c r="F19" s="400"/>
      <c r="G19" s="400"/>
      <c r="H19" s="401"/>
    </row>
    <row r="20" spans="2:8" ht="18" customHeight="1">
      <c r="B20" s="298"/>
      <c r="C20" s="203" t="s">
        <v>8</v>
      </c>
      <c r="D20" s="204" t="s">
        <v>21</v>
      </c>
      <c r="E20" s="400"/>
      <c r="F20" s="400"/>
      <c r="G20" s="400"/>
      <c r="H20" s="401"/>
    </row>
    <row r="21" spans="2:8" ht="18" customHeight="1">
      <c r="B21" s="298"/>
      <c r="C21" s="203" t="s">
        <v>9</v>
      </c>
      <c r="D21" s="204" t="s">
        <v>21</v>
      </c>
      <c r="E21" s="400"/>
      <c r="F21" s="400"/>
      <c r="G21" s="400"/>
      <c r="H21" s="401"/>
    </row>
    <row r="22" spans="3:8" ht="18" customHeight="1">
      <c r="C22" s="203" t="s">
        <v>10</v>
      </c>
      <c r="D22" s="204" t="s">
        <v>21</v>
      </c>
      <c r="E22" s="400"/>
      <c r="F22" s="400"/>
      <c r="G22" s="400"/>
      <c r="H22" s="401"/>
    </row>
    <row r="23" spans="3:8" ht="18" customHeight="1">
      <c r="C23" s="203" t="s">
        <v>11</v>
      </c>
      <c r="D23" s="204" t="s">
        <v>21</v>
      </c>
      <c r="E23" s="400"/>
      <c r="F23" s="400"/>
      <c r="G23" s="400"/>
      <c r="H23" s="401"/>
    </row>
    <row r="24" spans="3:8" ht="18" customHeight="1" thickBot="1">
      <c r="C24" s="306" t="s">
        <v>12</v>
      </c>
      <c r="D24" s="307" t="s">
        <v>21</v>
      </c>
      <c r="E24" s="418"/>
      <c r="F24" s="418"/>
      <c r="G24" s="418"/>
      <c r="H24" s="419"/>
    </row>
    <row r="25" spans="3:8" ht="15.75" thickTop="1">
      <c r="C25" s="420" t="s">
        <v>139</v>
      </c>
      <c r="D25" s="421"/>
      <c r="E25" s="424" t="s">
        <v>92</v>
      </c>
      <c r="F25" s="420" t="s">
        <v>93</v>
      </c>
      <c r="G25" s="421"/>
      <c r="H25" s="424" t="s">
        <v>131</v>
      </c>
    </row>
    <row r="26" spans="3:8" ht="15.75" thickBot="1">
      <c r="C26" s="422"/>
      <c r="D26" s="423"/>
      <c r="E26" s="425"/>
      <c r="F26" s="426"/>
      <c r="G26" s="427"/>
      <c r="H26" s="428"/>
    </row>
    <row r="27" spans="2:11" ht="15.75" thickTop="1">
      <c r="B27" s="308" t="s">
        <v>166</v>
      </c>
      <c r="C27" s="414">
        <f>INDEX(COSTOMP,PLATOS!CC7)*E13</f>
        <v>0</v>
      </c>
      <c r="D27" s="415"/>
      <c r="E27" s="309" t="s">
        <v>159</v>
      </c>
      <c r="F27" s="402">
        <f>DATOS!F20*'HOJA DE COSTOS CIF'!E13+DATOS!F51*'HOJA DE COSTOS CIF'!E13+DATOS!F65</f>
        <v>82.45121527777778</v>
      </c>
      <c r="G27" s="403"/>
      <c r="H27" s="310">
        <f>C27</f>
        <v>0</v>
      </c>
      <c r="K27" s="311"/>
    </row>
    <row r="28" spans="2:9" ht="15">
      <c r="B28" s="312" t="s">
        <v>167</v>
      </c>
      <c r="C28" s="416">
        <f>INDEX(COSTOMP2,PLATOS!CF7)*E13</f>
        <v>29.11918753333334</v>
      </c>
      <c r="D28" s="417"/>
      <c r="E28" s="313">
        <f>DATOS!I9+DATOS!J9</f>
        <v>0</v>
      </c>
      <c r="F28" s="404"/>
      <c r="G28" s="405"/>
      <c r="H28" s="310">
        <f>C28</f>
        <v>29.11918753333334</v>
      </c>
      <c r="I28" s="259" t="s">
        <v>312</v>
      </c>
    </row>
    <row r="29" spans="2:8" ht="15">
      <c r="B29" s="312" t="s">
        <v>168</v>
      </c>
      <c r="C29" s="416">
        <f>INDEX(COSTOMP3,PLATOS!CI7)*E13</f>
        <v>81.05793465000004</v>
      </c>
      <c r="D29" s="417"/>
      <c r="E29" s="314">
        <f>DATOS!I10+DATOS!J10+DATOS!K9+DATOS!L9</f>
        <v>0</v>
      </c>
      <c r="F29" s="404"/>
      <c r="G29" s="405"/>
      <c r="H29" s="310">
        <f>SUM(C29:E29)</f>
        <v>81.05793465000004</v>
      </c>
    </row>
    <row r="30" spans="2:8" ht="15">
      <c r="B30" s="312" t="s">
        <v>169</v>
      </c>
      <c r="C30" s="416">
        <f>INDEX(COSTOMP4,PLATOS!CL7)*E13</f>
        <v>11.200522666666668</v>
      </c>
      <c r="D30" s="417"/>
      <c r="E30" s="315" t="s">
        <v>196</v>
      </c>
      <c r="F30" s="404"/>
      <c r="G30" s="405"/>
      <c r="H30" s="310">
        <f>C30</f>
        <v>11.200522666666668</v>
      </c>
    </row>
    <row r="31" spans="2:8" ht="15">
      <c r="B31" s="312" t="s">
        <v>170</v>
      </c>
      <c r="C31" s="439">
        <f>INDEX(COSTOMP5,PLATOS!CO7)*E13</f>
        <v>0</v>
      </c>
      <c r="D31" s="416"/>
      <c r="E31" s="313">
        <f>DATOS!I14+DATOS!J14</f>
        <v>3</v>
      </c>
      <c r="F31" s="404"/>
      <c r="G31" s="405"/>
      <c r="H31" s="310">
        <f>C31</f>
        <v>0</v>
      </c>
    </row>
    <row r="32" spans="2:9" ht="15.75" thickBot="1">
      <c r="B32" s="312" t="s">
        <v>171</v>
      </c>
      <c r="C32" s="440">
        <f>INDEX(COSTOMP6,PLATOS!CR7)*E13</f>
        <v>21.112784</v>
      </c>
      <c r="D32" s="441"/>
      <c r="E32" s="316">
        <f>DATOS!I15+DATOS!J15</f>
        <v>45</v>
      </c>
      <c r="F32" s="406"/>
      <c r="G32" s="407"/>
      <c r="H32" s="317">
        <f>C32+E32+F27</f>
        <v>148.56399927777778</v>
      </c>
      <c r="I32" s="259" t="s">
        <v>313</v>
      </c>
    </row>
    <row r="33" spans="2:10" ht="17.25" thickBot="1">
      <c r="B33" s="318"/>
      <c r="C33" s="442">
        <f>SUM(C27:D32)</f>
        <v>142.49042885000006</v>
      </c>
      <c r="D33" s="443"/>
      <c r="E33" s="319">
        <f>E29+E32</f>
        <v>45</v>
      </c>
      <c r="F33" s="444">
        <f>SUM(F27:G32)</f>
        <v>82.45121527777778</v>
      </c>
      <c r="G33" s="445"/>
      <c r="H33" s="320">
        <f>SUM(C33:G33)</f>
        <v>269.94164412777786</v>
      </c>
      <c r="J33" s="311"/>
    </row>
    <row r="34" spans="3:9" ht="15.75" thickTop="1">
      <c r="C34" s="429"/>
      <c r="D34" s="430"/>
      <c r="E34" s="430"/>
      <c r="F34" s="435"/>
      <c r="G34" s="435"/>
      <c r="H34" s="321"/>
      <c r="I34" s="311"/>
    </row>
    <row r="35" spans="3:8" ht="15.75">
      <c r="C35" s="431"/>
      <c r="D35" s="432"/>
      <c r="E35" s="432"/>
      <c r="F35" s="436" t="s">
        <v>132</v>
      </c>
      <c r="G35" s="436"/>
      <c r="H35" s="322">
        <f>SUM(H27:H32)</f>
        <v>269.94164412777786</v>
      </c>
    </row>
    <row r="36" spans="3:8" ht="16.5" thickBot="1">
      <c r="C36" s="433"/>
      <c r="D36" s="434"/>
      <c r="E36" s="434"/>
      <c r="F36" s="437" t="s">
        <v>133</v>
      </c>
      <c r="G36" s="438"/>
      <c r="H36" s="323">
        <f>H35/E13</f>
        <v>3.856309201825398</v>
      </c>
    </row>
    <row r="37" ht="15.75" thickTop="1"/>
  </sheetData>
  <sheetProtection password="ABD7" sheet="1" objects="1" scenarios="1"/>
  <mergeCells count="27">
    <mergeCell ref="F25:G26"/>
    <mergeCell ref="H25:H26"/>
    <mergeCell ref="C34:E36"/>
    <mergeCell ref="F34:G34"/>
    <mergeCell ref="F35:G35"/>
    <mergeCell ref="F36:G36"/>
    <mergeCell ref="C30:D30"/>
    <mergeCell ref="C31:D31"/>
    <mergeCell ref="C32:D32"/>
    <mergeCell ref="C33:D33"/>
    <mergeCell ref="F33:G33"/>
    <mergeCell ref="E20:H20"/>
    <mergeCell ref="F27:G32"/>
    <mergeCell ref="C3:H4"/>
    <mergeCell ref="C6:H6"/>
    <mergeCell ref="F12:F13"/>
    <mergeCell ref="C16:H17"/>
    <mergeCell ref="E19:H19"/>
    <mergeCell ref="C27:D27"/>
    <mergeCell ref="C28:D28"/>
    <mergeCell ref="C29:D29"/>
    <mergeCell ref="E21:H21"/>
    <mergeCell ref="E22:H22"/>
    <mergeCell ref="E23:H23"/>
    <mergeCell ref="E24:H24"/>
    <mergeCell ref="C25:D26"/>
    <mergeCell ref="E25:E26"/>
  </mergeCells>
  <printOptions/>
  <pageMargins left="0.25" right="0.2755905511811024" top="0.7480314960629921" bottom="0.7480314960629921" header="0.31496062992125984" footer="0.31496062992125984"/>
  <pageSetup fitToHeight="1" fitToWidth="1" horizontalDpi="600" verticalDpi="600" orientation="portrait" scale="71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:K36"/>
  <sheetViews>
    <sheetView workbookViewId="0" topLeftCell="A1">
      <selection activeCell="E14" sqref="E14"/>
    </sheetView>
  </sheetViews>
  <sheetFormatPr defaultColWidth="11.421875" defaultRowHeight="15"/>
  <cols>
    <col min="1" max="1" width="7.140625" style="19" customWidth="1"/>
    <col min="2" max="2" width="2.8515625" style="19" customWidth="1"/>
    <col min="3" max="3" width="20.421875" style="19" customWidth="1"/>
    <col min="4" max="4" width="1.421875" style="19" customWidth="1"/>
    <col min="5" max="5" width="29.00390625" style="19" customWidth="1"/>
    <col min="6" max="6" width="22.28125" style="19" customWidth="1"/>
    <col min="7" max="7" width="4.140625" style="19" customWidth="1"/>
    <col min="8" max="8" width="19.421875" style="19" customWidth="1"/>
    <col min="9" max="16384" width="11.421875" style="19" customWidth="1"/>
  </cols>
  <sheetData>
    <row r="1" spans="2:8" ht="15.75">
      <c r="B1" s="77"/>
      <c r="C1" s="77"/>
      <c r="D1" s="77"/>
      <c r="E1" s="77"/>
      <c r="F1" s="77"/>
      <c r="G1" s="77"/>
      <c r="H1" s="77"/>
    </row>
    <row r="2" spans="2:8" ht="15.75" thickBot="1">
      <c r="B2" s="78"/>
      <c r="C2" s="78"/>
      <c r="D2" s="78"/>
      <c r="E2" s="78"/>
      <c r="F2" s="78"/>
      <c r="G2" s="78"/>
      <c r="H2" s="78"/>
    </row>
    <row r="3" spans="2:8" ht="15.75" customHeight="1" thickTop="1">
      <c r="B3" s="78"/>
      <c r="C3" s="447" t="s">
        <v>1</v>
      </c>
      <c r="D3" s="448"/>
      <c r="E3" s="448"/>
      <c r="F3" s="448"/>
      <c r="G3" s="448"/>
      <c r="H3" s="449"/>
    </row>
    <row r="4" spans="2:8" ht="15" customHeight="1">
      <c r="B4" s="79"/>
      <c r="C4" s="450"/>
      <c r="D4" s="451"/>
      <c r="E4" s="451"/>
      <c r="F4" s="451"/>
      <c r="G4" s="451"/>
      <c r="H4" s="452"/>
    </row>
    <row r="5" spans="2:8" ht="15">
      <c r="B5" s="80"/>
      <c r="C5" s="1"/>
      <c r="D5" s="2"/>
      <c r="E5" s="2"/>
      <c r="F5" s="2"/>
      <c r="G5" s="2"/>
      <c r="H5" s="3"/>
    </row>
    <row r="6" spans="2:8" ht="15">
      <c r="B6" s="80"/>
      <c r="C6" s="453" t="s">
        <v>134</v>
      </c>
      <c r="D6" s="454"/>
      <c r="E6" s="454"/>
      <c r="F6" s="454"/>
      <c r="G6" s="454"/>
      <c r="H6" s="455"/>
    </row>
    <row r="7" spans="2:8" ht="16.5" thickBot="1">
      <c r="B7" s="80"/>
      <c r="C7" s="4"/>
      <c r="D7" s="5"/>
      <c r="E7" s="5"/>
      <c r="F7" s="33" t="s">
        <v>135</v>
      </c>
      <c r="G7" s="5"/>
      <c r="H7" s="34">
        <v>386</v>
      </c>
    </row>
    <row r="8" spans="2:8" ht="15.75" thickTop="1">
      <c r="B8" s="80"/>
      <c r="C8" s="7"/>
      <c r="D8" s="8"/>
      <c r="E8" s="8"/>
      <c r="F8" s="8"/>
      <c r="G8" s="8"/>
      <c r="H8" s="9"/>
    </row>
    <row r="9" spans="2:8" ht="15">
      <c r="B9" s="80"/>
      <c r="C9" s="1" t="s">
        <v>137</v>
      </c>
      <c r="D9" s="2" t="s">
        <v>21</v>
      </c>
      <c r="E9" s="129" t="str">
        <f>ORDEN!D8</f>
        <v>Sr. Iván Vivas</v>
      </c>
      <c r="F9" s="2" t="s">
        <v>2</v>
      </c>
      <c r="G9" s="2" t="s">
        <v>21</v>
      </c>
      <c r="H9" s="131" t="str">
        <f>ORDEN!G8</f>
        <v>28 de febrero</v>
      </c>
    </row>
    <row r="10" spans="2:8" ht="15">
      <c r="B10" s="81"/>
      <c r="C10" s="1" t="s">
        <v>315</v>
      </c>
      <c r="D10" s="2" t="s">
        <v>21</v>
      </c>
      <c r="E10" s="130">
        <f>ORDEN!D9</f>
        <v>100758239</v>
      </c>
      <c r="F10" s="2" t="s">
        <v>3</v>
      </c>
      <c r="G10" s="2" t="s">
        <v>21</v>
      </c>
      <c r="H10" s="131" t="str">
        <f>ORDEN!G9</f>
        <v xml:space="preserve">27 de marzo </v>
      </c>
    </row>
    <row r="11" spans="2:8" ht="15">
      <c r="B11" s="81"/>
      <c r="C11" s="1" t="s">
        <v>314</v>
      </c>
      <c r="D11" s="2" t="s">
        <v>21</v>
      </c>
      <c r="E11" s="126">
        <f>ORDEN!D10</f>
        <v>93271179</v>
      </c>
      <c r="F11" s="2" t="s">
        <v>136</v>
      </c>
      <c r="G11" s="2" t="s">
        <v>21</v>
      </c>
      <c r="H11" s="132">
        <v>4.5</v>
      </c>
    </row>
    <row r="12" spans="2:8" ht="28.5">
      <c r="B12" s="81"/>
      <c r="C12" s="1" t="s">
        <v>19</v>
      </c>
      <c r="D12" s="2" t="s">
        <v>21</v>
      </c>
      <c r="E12" s="126" t="str">
        <f>ORDEN!D11</f>
        <v>Bautizo</v>
      </c>
      <c r="F12" s="446" t="s">
        <v>231</v>
      </c>
      <c r="G12" s="2" t="s">
        <v>21</v>
      </c>
      <c r="H12" s="105" t="s">
        <v>232</v>
      </c>
    </row>
    <row r="13" spans="2:8" ht="15">
      <c r="B13" s="81"/>
      <c r="C13" s="1" t="s">
        <v>138</v>
      </c>
      <c r="D13" s="2" t="s">
        <v>21</v>
      </c>
      <c r="E13" s="126">
        <v>100</v>
      </c>
      <c r="F13" s="446"/>
      <c r="G13" s="2"/>
      <c r="H13" s="104">
        <f>(H11/H36)-1</f>
        <v>0.2283496351436749</v>
      </c>
    </row>
    <row r="14" spans="2:8" ht="15">
      <c r="B14" s="81"/>
      <c r="C14" s="1"/>
      <c r="D14" s="2"/>
      <c r="E14" s="125"/>
      <c r="F14" s="13"/>
      <c r="G14" s="2"/>
      <c r="H14" s="35"/>
    </row>
    <row r="15" spans="2:8" ht="15.75" thickBot="1">
      <c r="B15" s="80"/>
      <c r="C15" s="4"/>
      <c r="D15" s="5"/>
      <c r="E15" s="5"/>
      <c r="F15" s="5"/>
      <c r="G15" s="5"/>
      <c r="H15" s="6"/>
    </row>
    <row r="16" spans="2:8" ht="15.75" thickTop="1">
      <c r="B16" s="80"/>
      <c r="C16" s="456" t="s">
        <v>78</v>
      </c>
      <c r="D16" s="457"/>
      <c r="E16" s="457"/>
      <c r="F16" s="457"/>
      <c r="G16" s="457"/>
      <c r="H16" s="458"/>
    </row>
    <row r="17" spans="2:8" ht="15.75" thickBot="1">
      <c r="B17" s="80"/>
      <c r="C17" s="459"/>
      <c r="D17" s="460"/>
      <c r="E17" s="460"/>
      <c r="F17" s="460"/>
      <c r="G17" s="460"/>
      <c r="H17" s="461"/>
    </row>
    <row r="18" spans="2:8" ht="15.75" thickTop="1">
      <c r="B18" s="80"/>
      <c r="C18" s="7"/>
      <c r="D18" s="8"/>
      <c r="E18" s="8"/>
      <c r="F18" s="8"/>
      <c r="G18" s="8"/>
      <c r="H18" s="9"/>
    </row>
    <row r="19" spans="2:8" ht="18" customHeight="1">
      <c r="B19" s="80"/>
      <c r="C19" s="10" t="s">
        <v>7</v>
      </c>
      <c r="D19" s="11" t="s">
        <v>21</v>
      </c>
      <c r="E19" s="462"/>
      <c r="F19" s="462"/>
      <c r="G19" s="462"/>
      <c r="H19" s="463"/>
    </row>
    <row r="20" spans="2:8" ht="18" customHeight="1">
      <c r="B20" s="80"/>
      <c r="C20" s="10" t="s">
        <v>8</v>
      </c>
      <c r="D20" s="11" t="s">
        <v>21</v>
      </c>
      <c r="E20" s="462"/>
      <c r="F20" s="462"/>
      <c r="G20" s="462"/>
      <c r="H20" s="463"/>
    </row>
    <row r="21" spans="2:8" ht="18" customHeight="1">
      <c r="B21" s="80"/>
      <c r="C21" s="10" t="s">
        <v>9</v>
      </c>
      <c r="D21" s="11" t="s">
        <v>21</v>
      </c>
      <c r="E21" s="462"/>
      <c r="F21" s="462"/>
      <c r="G21" s="462"/>
      <c r="H21" s="463"/>
    </row>
    <row r="22" spans="3:8" ht="18" customHeight="1">
      <c r="C22" s="10" t="s">
        <v>10</v>
      </c>
      <c r="D22" s="11" t="s">
        <v>21</v>
      </c>
      <c r="E22" s="462"/>
      <c r="F22" s="462"/>
      <c r="G22" s="462"/>
      <c r="H22" s="463"/>
    </row>
    <row r="23" spans="3:8" ht="18" customHeight="1">
      <c r="C23" s="10" t="s">
        <v>11</v>
      </c>
      <c r="D23" s="11" t="s">
        <v>21</v>
      </c>
      <c r="E23" s="462"/>
      <c r="F23" s="462"/>
      <c r="G23" s="462"/>
      <c r="H23" s="463"/>
    </row>
    <row r="24" spans="3:8" ht="18" customHeight="1" thickBot="1">
      <c r="C24" s="36" t="s">
        <v>12</v>
      </c>
      <c r="D24" s="37" t="s">
        <v>21</v>
      </c>
      <c r="E24" s="464"/>
      <c r="F24" s="464"/>
      <c r="G24" s="464"/>
      <c r="H24" s="465"/>
    </row>
    <row r="25" spans="3:8" ht="15.75" thickTop="1">
      <c r="C25" s="466" t="s">
        <v>139</v>
      </c>
      <c r="D25" s="467"/>
      <c r="E25" s="474" t="s">
        <v>92</v>
      </c>
      <c r="F25" s="466" t="s">
        <v>93</v>
      </c>
      <c r="G25" s="467"/>
      <c r="H25" s="474" t="s">
        <v>131</v>
      </c>
    </row>
    <row r="26" spans="3:8" ht="15.75" thickBot="1">
      <c r="C26" s="468"/>
      <c r="D26" s="469"/>
      <c r="E26" s="478"/>
      <c r="F26" s="476"/>
      <c r="G26" s="477"/>
      <c r="H26" s="475"/>
    </row>
    <row r="27" spans="2:11" ht="15.75" thickTop="1">
      <c r="B27" s="95" t="s">
        <v>166</v>
      </c>
      <c r="C27" s="470">
        <f>INDEX(COSTOMP,PLATOS!CC7)*E13</f>
        <v>0</v>
      </c>
      <c r="D27" s="471"/>
      <c r="E27" s="83" t="s">
        <v>159</v>
      </c>
      <c r="F27" s="484" t="s">
        <v>172</v>
      </c>
      <c r="G27" s="484"/>
      <c r="H27" s="84">
        <f>C27</f>
        <v>0</v>
      </c>
      <c r="K27" s="82"/>
    </row>
    <row r="28" spans="2:9" ht="15">
      <c r="B28" s="96" t="s">
        <v>167</v>
      </c>
      <c r="C28" s="472">
        <f>INDEX(COSTOMP2,PLATOS!CF7)*E13</f>
        <v>41.598839333333345</v>
      </c>
      <c r="D28" s="473"/>
      <c r="E28" s="85">
        <f>DATOS!I9+DATOS!J9</f>
        <v>0</v>
      </c>
      <c r="F28" s="479">
        <f>DATOS!F20*'HOJA DE COSTOS'!E13</f>
        <v>117.78745039682539</v>
      </c>
      <c r="G28" s="481" t="s">
        <v>320</v>
      </c>
      <c r="H28" s="84">
        <f>SUM(C28:E28)</f>
        <v>41.598839333333345</v>
      </c>
      <c r="I28" s="19" t="s">
        <v>312</v>
      </c>
    </row>
    <row r="29" spans="2:8" ht="15">
      <c r="B29" s="96" t="s">
        <v>168</v>
      </c>
      <c r="C29" s="472">
        <f>INDEX(COSTOMP3,PLATOS!CI7)*E13</f>
        <v>115.79704950000004</v>
      </c>
      <c r="D29" s="473"/>
      <c r="E29" s="86">
        <f>DATOS!I10+DATOS!J10+DATOS!K9+DATOS!L9</f>
        <v>0</v>
      </c>
      <c r="F29" s="480"/>
      <c r="G29" s="482"/>
      <c r="H29" s="84">
        <f>SUM(C29:E29)</f>
        <v>115.79704950000004</v>
      </c>
    </row>
    <row r="30" spans="2:8" ht="15">
      <c r="B30" s="96" t="s">
        <v>169</v>
      </c>
      <c r="C30" s="487">
        <f>INDEX(COSTOMP4,PLATOS!CL7)*E13</f>
        <v>16.000746666666668</v>
      </c>
      <c r="D30" s="488"/>
      <c r="E30" s="87" t="s">
        <v>196</v>
      </c>
      <c r="F30" s="484" t="s">
        <v>173</v>
      </c>
      <c r="G30" s="484"/>
      <c r="H30" s="84">
        <f>C30</f>
        <v>16.000746666666668</v>
      </c>
    </row>
    <row r="31" spans="2:8" ht="15">
      <c r="B31" s="96" t="s">
        <v>170</v>
      </c>
      <c r="C31" s="501">
        <f>INDEX(COSTOMP5,PLATOS!CO7)*E13</f>
        <v>0</v>
      </c>
      <c r="D31" s="472"/>
      <c r="E31" s="85">
        <f>DATOS!I14+DATOS!J14</f>
        <v>3</v>
      </c>
      <c r="F31" s="88">
        <f>DATOS!F51*'HOJA DE COSTOS'!E13</f>
        <v>0</v>
      </c>
      <c r="G31" s="89" t="s">
        <v>182</v>
      </c>
      <c r="H31" s="84">
        <f>C31</f>
        <v>0</v>
      </c>
    </row>
    <row r="32" spans="2:9" ht="15.75" thickBot="1">
      <c r="B32" s="96" t="s">
        <v>171</v>
      </c>
      <c r="C32" s="495">
        <f>INDEX(COSTOMP6,PLATOS!CR7)*E13</f>
        <v>30.161120000000004</v>
      </c>
      <c r="D32" s="496"/>
      <c r="E32" s="90">
        <f>DATOS!I15+DATOS!J15</f>
        <v>45</v>
      </c>
      <c r="F32" s="88">
        <f>DATOS!F65</f>
        <v>0</v>
      </c>
      <c r="G32" s="89" t="s">
        <v>183</v>
      </c>
      <c r="H32" s="91">
        <f>C32+E32+F31+F28+F32</f>
        <v>192.9485703968254</v>
      </c>
      <c r="I32" s="19" t="s">
        <v>313</v>
      </c>
    </row>
    <row r="33" spans="2:10" ht="17.25" thickBot="1">
      <c r="B33" s="97"/>
      <c r="C33" s="497">
        <f>SUM(C27:D32)</f>
        <v>203.55775550000007</v>
      </c>
      <c r="D33" s="498"/>
      <c r="E33" s="92">
        <f>E29+E32</f>
        <v>45</v>
      </c>
      <c r="F33" s="499">
        <f>SUM(F27:G32)</f>
        <v>117.78745039682539</v>
      </c>
      <c r="G33" s="500"/>
      <c r="H33" s="93">
        <f>SUM(C33:G33)</f>
        <v>366.34520589682546</v>
      </c>
      <c r="J33" s="82"/>
    </row>
    <row r="34" spans="3:9" ht="15.75" thickTop="1">
      <c r="C34" s="489"/>
      <c r="D34" s="490"/>
      <c r="E34" s="490"/>
      <c r="F34" s="483"/>
      <c r="G34" s="483"/>
      <c r="H34" s="98"/>
      <c r="I34" s="82"/>
    </row>
    <row r="35" spans="3:8" ht="15.75">
      <c r="C35" s="491"/>
      <c r="D35" s="492"/>
      <c r="E35" s="492"/>
      <c r="F35" s="502" t="s">
        <v>132</v>
      </c>
      <c r="G35" s="502"/>
      <c r="H35" s="94">
        <f>SUM(H27:H32)</f>
        <v>366.34520589682546</v>
      </c>
    </row>
    <row r="36" spans="3:8" ht="16.5" thickBot="1">
      <c r="C36" s="493"/>
      <c r="D36" s="494"/>
      <c r="E36" s="494"/>
      <c r="F36" s="485" t="s">
        <v>133</v>
      </c>
      <c r="G36" s="486"/>
      <c r="H36" s="109">
        <f>H35/E13</f>
        <v>3.6634520589682547</v>
      </c>
    </row>
    <row r="37" ht="15.75" thickTop="1"/>
  </sheetData>
  <mergeCells count="30">
    <mergeCell ref="F34:G34"/>
    <mergeCell ref="F27:G27"/>
    <mergeCell ref="F36:G36"/>
    <mergeCell ref="C30:D30"/>
    <mergeCell ref="C34:E36"/>
    <mergeCell ref="C32:D32"/>
    <mergeCell ref="C33:D33"/>
    <mergeCell ref="F33:G33"/>
    <mergeCell ref="C31:D31"/>
    <mergeCell ref="F35:G35"/>
    <mergeCell ref="F30:G30"/>
    <mergeCell ref="C29:D29"/>
    <mergeCell ref="C25:D26"/>
    <mergeCell ref="C27:D27"/>
    <mergeCell ref="C28:D28"/>
    <mergeCell ref="H25:H26"/>
    <mergeCell ref="F25:G26"/>
    <mergeCell ref="E25:E26"/>
    <mergeCell ref="F28:F29"/>
    <mergeCell ref="G28:G29"/>
    <mergeCell ref="E20:H20"/>
    <mergeCell ref="E21:H21"/>
    <mergeCell ref="E22:H22"/>
    <mergeCell ref="E23:H23"/>
    <mergeCell ref="E24:H24"/>
    <mergeCell ref="F12:F13"/>
    <mergeCell ref="C3:H4"/>
    <mergeCell ref="C6:H6"/>
    <mergeCell ref="C16:H17"/>
    <mergeCell ref="E19:H19"/>
  </mergeCells>
  <printOptions/>
  <pageMargins left="0.25" right="0.2755905511811024" top="0.7480314960629921" bottom="0.7480314960629921" header="0.31496062992125984" footer="0.31496062992125984"/>
  <pageSetup fitToHeight="1" fitToWidth="1" horizontalDpi="600" verticalDpi="600" orientation="portrait" scale="7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/>
  <dimension ref="B1:G13"/>
  <sheetViews>
    <sheetView workbookViewId="0" topLeftCell="A1">
      <selection activeCell="F8" sqref="F8"/>
    </sheetView>
  </sheetViews>
  <sheetFormatPr defaultColWidth="11.421875" defaultRowHeight="15"/>
  <cols>
    <col min="1" max="1" width="6.140625" style="106" customWidth="1"/>
    <col min="2" max="2" width="16.7109375" style="134" bestFit="1" customWidth="1"/>
    <col min="3" max="4" width="38.00390625" style="106" customWidth="1"/>
    <col min="5" max="5" width="39.57421875" style="106" customWidth="1"/>
    <col min="6" max="16384" width="11.421875" style="106" customWidth="1"/>
  </cols>
  <sheetData>
    <row r="1" spans="2:7" ht="15" customHeight="1">
      <c r="B1" s="503" t="s">
        <v>245</v>
      </c>
      <c r="C1" s="503"/>
      <c r="D1" s="503"/>
      <c r="E1" s="503"/>
      <c r="F1" s="107"/>
      <c r="G1" s="107"/>
    </row>
    <row r="2" spans="2:7" ht="15" customHeight="1">
      <c r="B2" s="503"/>
      <c r="C2" s="503"/>
      <c r="D2" s="503"/>
      <c r="E2" s="503"/>
      <c r="F2" s="107"/>
      <c r="G2" s="107"/>
    </row>
    <row r="3" spans="2:7" ht="19.5">
      <c r="B3" s="503" t="s">
        <v>234</v>
      </c>
      <c r="C3" s="503"/>
      <c r="D3" s="503"/>
      <c r="E3" s="503"/>
      <c r="F3" s="107"/>
      <c r="G3" s="107"/>
    </row>
    <row r="4" ht="15"/>
    <row r="5" spans="2:5" ht="15">
      <c r="B5" s="361" t="s">
        <v>315</v>
      </c>
      <c r="C5" s="362" t="s">
        <v>235</v>
      </c>
      <c r="D5" s="362" t="s">
        <v>236</v>
      </c>
      <c r="E5" s="362" t="s">
        <v>233</v>
      </c>
    </row>
    <row r="6" spans="2:5" ht="15">
      <c r="B6" s="133"/>
      <c r="C6" s="108"/>
      <c r="D6" s="108"/>
      <c r="E6" s="108"/>
    </row>
    <row r="7" spans="2:5" ht="15">
      <c r="B7" s="133">
        <v>1007538239</v>
      </c>
      <c r="C7" s="108" t="s">
        <v>457</v>
      </c>
      <c r="D7" s="108">
        <v>98345675</v>
      </c>
      <c r="E7" s="108" t="s">
        <v>449</v>
      </c>
    </row>
    <row r="8" spans="2:5" ht="15">
      <c r="B8" s="133">
        <v>1003457654</v>
      </c>
      <c r="C8" s="108" t="s">
        <v>456</v>
      </c>
      <c r="D8" s="108">
        <v>98956345</v>
      </c>
      <c r="E8" s="108" t="s">
        <v>449</v>
      </c>
    </row>
    <row r="9" spans="2:5" ht="15">
      <c r="B9" s="133">
        <v>1008764567</v>
      </c>
      <c r="C9" s="108" t="s">
        <v>455</v>
      </c>
      <c r="D9" s="108">
        <v>84356437</v>
      </c>
      <c r="E9" s="108" t="s">
        <v>449</v>
      </c>
    </row>
    <row r="10" spans="2:5" ht="15">
      <c r="B10" s="133">
        <v>1005463786</v>
      </c>
      <c r="C10" s="108" t="s">
        <v>454</v>
      </c>
      <c r="D10" s="108">
        <v>85764352</v>
      </c>
      <c r="E10" s="108" t="s">
        <v>449</v>
      </c>
    </row>
    <row r="11" spans="2:5" ht="15">
      <c r="B11" s="133">
        <v>1007975438</v>
      </c>
      <c r="C11" s="108" t="s">
        <v>451</v>
      </c>
      <c r="D11" s="108">
        <v>84115876</v>
      </c>
      <c r="E11" s="108" t="s">
        <v>449</v>
      </c>
    </row>
    <row r="12" spans="2:5" ht="15">
      <c r="B12" s="133"/>
      <c r="C12" s="108" t="s">
        <v>450</v>
      </c>
      <c r="D12" s="108">
        <v>98976529</v>
      </c>
      <c r="E12" s="108" t="s">
        <v>449</v>
      </c>
    </row>
    <row r="13" spans="2:5" ht="15">
      <c r="B13" s="133">
        <v>1001524034001</v>
      </c>
      <c r="C13" s="108" t="s">
        <v>248</v>
      </c>
      <c r="D13" s="108">
        <v>97456897</v>
      </c>
      <c r="E13" s="108" t="s">
        <v>449</v>
      </c>
    </row>
  </sheetData>
  <autoFilter ref="C5:C13"/>
  <mergeCells count="2">
    <mergeCell ref="B1:E2"/>
    <mergeCell ref="B3:E3"/>
  </mergeCells>
  <printOptions/>
  <pageMargins left="0.7" right="0.7" top="0.75" bottom="0.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B2:K24"/>
  <sheetViews>
    <sheetView workbookViewId="0" topLeftCell="A1">
      <selection activeCell="C4" sqref="C4"/>
    </sheetView>
  </sheetViews>
  <sheetFormatPr defaultColWidth="11.421875" defaultRowHeight="15"/>
  <cols>
    <col min="1" max="1" width="11.421875" style="14" customWidth="1"/>
    <col min="2" max="2" width="21.140625" style="14" customWidth="1"/>
    <col min="3" max="7" width="11.421875" style="14" customWidth="1"/>
    <col min="8" max="8" width="12.57421875" style="47" bestFit="1" customWidth="1"/>
    <col min="9" max="9" width="11.421875" style="47" customWidth="1"/>
    <col min="10" max="16384" width="11.421875" style="14" customWidth="1"/>
  </cols>
  <sheetData>
    <row r="2" spans="2:11" ht="15">
      <c r="B2" s="504" t="s">
        <v>140</v>
      </c>
      <c r="C2" s="504"/>
      <c r="D2" s="56" t="s">
        <v>189</v>
      </c>
      <c r="E2" s="504" t="s">
        <v>201</v>
      </c>
      <c r="F2" s="504"/>
      <c r="G2" s="60" t="s">
        <v>202</v>
      </c>
      <c r="H2" s="64" t="s">
        <v>203</v>
      </c>
      <c r="I2" s="64" t="s">
        <v>148</v>
      </c>
      <c r="K2" s="14">
        <v>160</v>
      </c>
    </row>
    <row r="3" spans="2:9" ht="15">
      <c r="B3" s="56" t="s">
        <v>199</v>
      </c>
      <c r="C3" s="56" t="s">
        <v>193</v>
      </c>
      <c r="D3" s="57" t="s">
        <v>193</v>
      </c>
      <c r="E3" s="56" t="s">
        <v>200</v>
      </c>
      <c r="F3" s="56" t="s">
        <v>190</v>
      </c>
      <c r="G3" s="60">
        <v>8</v>
      </c>
      <c r="H3" s="59">
        <v>30</v>
      </c>
      <c r="I3" s="65">
        <v>1</v>
      </c>
    </row>
    <row r="4" spans="2:10" ht="15">
      <c r="B4" s="27" t="s">
        <v>194</v>
      </c>
      <c r="C4" s="48">
        <v>0.25</v>
      </c>
      <c r="D4" s="52">
        <f aca="true" t="shared" si="0" ref="D4:D9">$C$10/6</f>
        <v>0.01</v>
      </c>
      <c r="E4" s="69">
        <f>C4+D4</f>
        <v>0.26</v>
      </c>
      <c r="F4" s="43">
        <f>$G$3*E4</f>
        <v>2.08</v>
      </c>
      <c r="G4" s="123"/>
      <c r="H4" s="123"/>
      <c r="I4" s="58"/>
      <c r="J4" s="14" t="s">
        <v>243</v>
      </c>
    </row>
    <row r="5" spans="2:10" ht="15">
      <c r="B5" s="27" t="s">
        <v>12</v>
      </c>
      <c r="C5" s="69">
        <v>0.005</v>
      </c>
      <c r="D5" s="52">
        <f t="shared" si="0"/>
        <v>0.01</v>
      </c>
      <c r="E5" s="48">
        <f aca="true" t="shared" si="1" ref="E5:E9">C5+D5</f>
        <v>0.015</v>
      </c>
      <c r="F5" s="43">
        <f aca="true" t="shared" si="2" ref="F5:F9">$G$3*E5</f>
        <v>0.12</v>
      </c>
      <c r="G5" s="123"/>
      <c r="H5" s="123"/>
      <c r="I5" s="58"/>
      <c r="J5" s="14" t="s">
        <v>242</v>
      </c>
    </row>
    <row r="6" spans="2:10" ht="15">
      <c r="B6" s="27" t="s">
        <v>8</v>
      </c>
      <c r="C6" s="69">
        <v>0.235</v>
      </c>
      <c r="D6" s="52">
        <f t="shared" si="0"/>
        <v>0.01</v>
      </c>
      <c r="E6" s="48">
        <f t="shared" si="1"/>
        <v>0.245</v>
      </c>
      <c r="F6" s="43">
        <f t="shared" si="2"/>
        <v>1.96</v>
      </c>
      <c r="G6" s="123"/>
      <c r="H6" s="123"/>
      <c r="I6" s="58"/>
      <c r="J6" s="14" t="s">
        <v>243</v>
      </c>
    </row>
    <row r="7" spans="2:10" ht="15">
      <c r="B7" s="27" t="s">
        <v>9</v>
      </c>
      <c r="C7" s="48">
        <v>0.35</v>
      </c>
      <c r="D7" s="52">
        <f t="shared" si="0"/>
        <v>0.01</v>
      </c>
      <c r="E7" s="48">
        <f t="shared" si="1"/>
        <v>0.36</v>
      </c>
      <c r="F7" s="43">
        <f t="shared" si="2"/>
        <v>2.88</v>
      </c>
      <c r="G7" s="123"/>
      <c r="H7" s="123"/>
      <c r="I7" s="58"/>
      <c r="J7" s="14" t="s">
        <v>241</v>
      </c>
    </row>
    <row r="8" spans="2:10" ht="15">
      <c r="B8" s="27" t="s">
        <v>195</v>
      </c>
      <c r="C8" s="48">
        <v>0.05</v>
      </c>
      <c r="D8" s="52">
        <f t="shared" si="0"/>
        <v>0.01</v>
      </c>
      <c r="E8" s="48">
        <f t="shared" si="1"/>
        <v>0.060000000000000005</v>
      </c>
      <c r="F8" s="43">
        <f t="shared" si="2"/>
        <v>0.48000000000000004</v>
      </c>
      <c r="G8" s="123"/>
      <c r="H8" s="123"/>
      <c r="I8" s="58"/>
      <c r="J8" s="45" t="s">
        <v>240</v>
      </c>
    </row>
    <row r="9" spans="2:10" ht="15">
      <c r="B9" s="27" t="s">
        <v>11</v>
      </c>
      <c r="C9" s="48">
        <v>0.05</v>
      </c>
      <c r="D9" s="52">
        <f t="shared" si="0"/>
        <v>0.01</v>
      </c>
      <c r="E9" s="48">
        <f t="shared" si="1"/>
        <v>0.060000000000000005</v>
      </c>
      <c r="F9" s="43">
        <f t="shared" si="2"/>
        <v>0.48000000000000004</v>
      </c>
      <c r="G9" s="123"/>
      <c r="H9" s="123"/>
      <c r="I9" s="58"/>
      <c r="J9" s="14" t="s">
        <v>244</v>
      </c>
    </row>
    <row r="10" spans="2:9" ht="15">
      <c r="B10" s="49" t="s">
        <v>189</v>
      </c>
      <c r="C10" s="72">
        <v>0.06</v>
      </c>
      <c r="D10" s="50">
        <f>SUM(D4:D9)</f>
        <v>0.060000000000000005</v>
      </c>
      <c r="E10" s="45"/>
      <c r="F10" s="44"/>
      <c r="G10" s="123"/>
      <c r="H10" s="123"/>
      <c r="I10" s="58"/>
    </row>
    <row r="11" spans="3:9" ht="15">
      <c r="C11" s="51">
        <f>SUM(C4:C10)</f>
        <v>1</v>
      </c>
      <c r="D11" s="45"/>
      <c r="E11" s="51">
        <f>SUM(E4:E9)</f>
        <v>1</v>
      </c>
      <c r="F11" s="53">
        <f>SUM(F4:F9)</f>
        <v>8</v>
      </c>
      <c r="G11" s="63"/>
      <c r="H11" s="62"/>
      <c r="I11" s="58"/>
    </row>
    <row r="12" spans="6:9" ht="15">
      <c r="F12" s="46"/>
      <c r="G12" s="61"/>
      <c r="H12" s="62"/>
      <c r="I12" s="58"/>
    </row>
    <row r="13" spans="2:9" ht="15">
      <c r="B13" s="504" t="s">
        <v>78</v>
      </c>
      <c r="C13" s="504"/>
      <c r="D13" s="56" t="s">
        <v>189</v>
      </c>
      <c r="E13" s="504" t="s">
        <v>307</v>
      </c>
      <c r="F13" s="504"/>
      <c r="G13" s="60" t="s">
        <v>202</v>
      </c>
      <c r="H13" s="64" t="s">
        <v>204</v>
      </c>
      <c r="I13" s="65" t="s">
        <v>148</v>
      </c>
    </row>
    <row r="14" spans="2:9" ht="15">
      <c r="B14" s="56" t="s">
        <v>199</v>
      </c>
      <c r="C14" s="56" t="s">
        <v>193</v>
      </c>
      <c r="D14" s="57" t="s">
        <v>193</v>
      </c>
      <c r="E14" s="56" t="s">
        <v>200</v>
      </c>
      <c r="F14" s="56" t="s">
        <v>190</v>
      </c>
      <c r="G14" s="60">
        <v>8</v>
      </c>
      <c r="H14" s="59">
        <v>30</v>
      </c>
      <c r="I14" s="65">
        <v>1</v>
      </c>
    </row>
    <row r="15" spans="2:6" ht="15">
      <c r="B15" s="27" t="s">
        <v>194</v>
      </c>
      <c r="C15" s="48">
        <v>0.07</v>
      </c>
      <c r="D15" s="52">
        <f aca="true" t="shared" si="3" ref="D15:D20">$C$21/6</f>
        <v>0.08333333333333333</v>
      </c>
      <c r="E15" s="69">
        <f aca="true" t="shared" si="4" ref="E15:E20">C15+D15</f>
        <v>0.15333333333333332</v>
      </c>
      <c r="F15" s="43">
        <f>$G$14*E15</f>
        <v>1.2266666666666666</v>
      </c>
    </row>
    <row r="16" spans="2:8" ht="15">
      <c r="B16" s="27" t="s">
        <v>12</v>
      </c>
      <c r="C16" s="48">
        <v>0.01</v>
      </c>
      <c r="D16" s="52">
        <f t="shared" si="3"/>
        <v>0.08333333333333333</v>
      </c>
      <c r="E16" s="48">
        <f t="shared" si="4"/>
        <v>0.09333333333333332</v>
      </c>
      <c r="F16" s="43">
        <f aca="true" t="shared" si="5" ref="F16:F20">$G$14*E16</f>
        <v>0.7466666666666666</v>
      </c>
      <c r="H16" s="74"/>
    </row>
    <row r="17" spans="2:6" ht="15">
      <c r="B17" s="27" t="s">
        <v>8</v>
      </c>
      <c r="C17" s="48">
        <v>0.15</v>
      </c>
      <c r="D17" s="52">
        <f t="shared" si="3"/>
        <v>0.08333333333333333</v>
      </c>
      <c r="E17" s="48">
        <f t="shared" si="4"/>
        <v>0.23333333333333334</v>
      </c>
      <c r="F17" s="43">
        <f t="shared" si="5"/>
        <v>1.8666666666666667</v>
      </c>
    </row>
    <row r="18" spans="2:8" ht="15">
      <c r="B18" s="27" t="s">
        <v>9</v>
      </c>
      <c r="C18" s="48">
        <v>0.2</v>
      </c>
      <c r="D18" s="52">
        <f t="shared" si="3"/>
        <v>0.08333333333333333</v>
      </c>
      <c r="E18" s="48">
        <f t="shared" si="4"/>
        <v>0.2833333333333333</v>
      </c>
      <c r="F18" s="43">
        <f t="shared" si="5"/>
        <v>2.2666666666666666</v>
      </c>
      <c r="H18" s="73"/>
    </row>
    <row r="19" spans="2:6" ht="15">
      <c r="B19" s="27" t="s">
        <v>195</v>
      </c>
      <c r="C19" s="48">
        <v>0.03</v>
      </c>
      <c r="D19" s="52">
        <f t="shared" si="3"/>
        <v>0.08333333333333333</v>
      </c>
      <c r="E19" s="48">
        <f t="shared" si="4"/>
        <v>0.11333333333333333</v>
      </c>
      <c r="F19" s="43">
        <f t="shared" si="5"/>
        <v>0.9066666666666666</v>
      </c>
    </row>
    <row r="20" spans="2:8" ht="15">
      <c r="B20" s="27" t="s">
        <v>11</v>
      </c>
      <c r="C20" s="48">
        <v>0.04</v>
      </c>
      <c r="D20" s="52">
        <f t="shared" si="3"/>
        <v>0.08333333333333333</v>
      </c>
      <c r="E20" s="48">
        <f t="shared" si="4"/>
        <v>0.12333333333333332</v>
      </c>
      <c r="F20" s="43">
        <f t="shared" si="5"/>
        <v>0.9866666666666666</v>
      </c>
      <c r="H20" s="75"/>
    </row>
    <row r="21" spans="2:8" ht="15">
      <c r="B21" s="54" t="s">
        <v>189</v>
      </c>
      <c r="C21" s="51">
        <v>0.5</v>
      </c>
      <c r="D21" s="51">
        <v>0.5</v>
      </c>
      <c r="E21" s="45"/>
      <c r="F21" s="47"/>
      <c r="H21" s="58"/>
    </row>
    <row r="22" spans="3:6" ht="15">
      <c r="C22" s="51">
        <f>SUM(C15:C21)</f>
        <v>1</v>
      </c>
      <c r="D22" s="45"/>
      <c r="E22" s="51">
        <f>SUM(E15:E20)</f>
        <v>0.9999999999999999</v>
      </c>
      <c r="F22" s="55">
        <f>SUM(F15:F20)</f>
        <v>7.999999999999999</v>
      </c>
    </row>
    <row r="23" ht="15">
      <c r="F23" s="46"/>
    </row>
    <row r="24" ht="15">
      <c r="E24" s="124"/>
    </row>
  </sheetData>
  <mergeCells count="4">
    <mergeCell ref="B13:C13"/>
    <mergeCell ref="B2:C2"/>
    <mergeCell ref="E2:F2"/>
    <mergeCell ref="E13:F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tabColor rgb="FF00B050"/>
    <pageSetUpPr fitToPage="1"/>
  </sheetPr>
  <dimension ref="B2:J55"/>
  <sheetViews>
    <sheetView workbookViewId="0" topLeftCell="A1">
      <selection activeCell="B2" sqref="B2:H2"/>
    </sheetView>
  </sheetViews>
  <sheetFormatPr defaultColWidth="11.421875" defaultRowHeight="15"/>
  <cols>
    <col min="1" max="1" width="6.8515625" style="227" customWidth="1"/>
    <col min="2" max="2" width="7.140625" style="227" customWidth="1"/>
    <col min="3" max="3" width="15.421875" style="227" customWidth="1"/>
    <col min="4" max="4" width="11.8515625" style="227" customWidth="1"/>
    <col min="5" max="6" width="11.421875" style="227" customWidth="1"/>
    <col min="7" max="7" width="11.421875" style="228" customWidth="1"/>
    <col min="8" max="8" width="12.140625" style="228" customWidth="1"/>
    <col min="9" max="16384" width="11.421875" style="227" customWidth="1"/>
  </cols>
  <sheetData>
    <row r="1" ht="15.75" thickBot="1"/>
    <row r="2" spans="2:8" ht="21" thickTop="1">
      <c r="B2" s="505" t="s">
        <v>1</v>
      </c>
      <c r="C2" s="506"/>
      <c r="D2" s="506"/>
      <c r="E2" s="506"/>
      <c r="F2" s="506"/>
      <c r="G2" s="506"/>
      <c r="H2" s="507"/>
    </row>
    <row r="3" spans="2:8" ht="24" customHeight="1" thickBot="1">
      <c r="B3" s="508" t="s">
        <v>0</v>
      </c>
      <c r="C3" s="509"/>
      <c r="D3" s="509"/>
      <c r="E3" s="509"/>
      <c r="F3" s="509"/>
      <c r="G3" s="509"/>
      <c r="H3" s="510"/>
    </row>
    <row r="4" spans="2:8" ht="15.75" thickTop="1">
      <c r="B4" s="188" t="s">
        <v>86</v>
      </c>
      <c r="C4" s="229"/>
      <c r="D4" s="513">
        <f ca="1">NOW()</f>
        <v>40339.71163912037</v>
      </c>
      <c r="E4" s="513"/>
      <c r="F4" s="230"/>
      <c r="G4" s="231"/>
      <c r="H4" s="232"/>
    </row>
    <row r="5" spans="2:8" ht="15.75" thickBot="1">
      <c r="B5" s="233" t="s">
        <v>82</v>
      </c>
      <c r="C5" s="234"/>
      <c r="D5" s="234"/>
      <c r="E5" s="185" t="s">
        <v>87</v>
      </c>
      <c r="F5" s="234"/>
      <c r="G5" s="235"/>
      <c r="H5" s="236"/>
    </row>
    <row r="6" spans="2:8" ht="15.75" thickTop="1">
      <c r="B6" s="237"/>
      <c r="C6" s="238"/>
      <c r="D6" s="238"/>
      <c r="E6" s="238"/>
      <c r="F6" s="238"/>
      <c r="G6" s="239"/>
      <c r="H6" s="240"/>
    </row>
    <row r="7" spans="2:8" ht="15">
      <c r="B7" s="237" t="s">
        <v>74</v>
      </c>
      <c r="C7" s="512" t="s">
        <v>78</v>
      </c>
      <c r="D7" s="512"/>
      <c r="E7" s="512"/>
      <c r="F7" s="512"/>
      <c r="G7" s="171" t="s">
        <v>17</v>
      </c>
      <c r="H7" s="241" t="s">
        <v>79</v>
      </c>
    </row>
    <row r="8" spans="2:8" ht="15">
      <c r="B8" s="237"/>
      <c r="C8" s="242" t="s">
        <v>7</v>
      </c>
      <c r="D8" s="179"/>
      <c r="E8" s="179"/>
      <c r="F8" s="179"/>
      <c r="G8" s="208"/>
      <c r="H8" s="241">
        <f>G8*$D$5</f>
        <v>0</v>
      </c>
    </row>
    <row r="9" spans="2:8" ht="15">
      <c r="B9" s="237"/>
      <c r="C9" s="179" t="s">
        <v>75</v>
      </c>
      <c r="D9" s="179"/>
      <c r="E9" s="179"/>
      <c r="F9" s="179"/>
      <c r="G9" s="239"/>
      <c r="H9" s="240"/>
    </row>
    <row r="10" spans="2:8" ht="15">
      <c r="B10" s="237"/>
      <c r="C10" s="179" t="s">
        <v>8</v>
      </c>
      <c r="D10" s="179"/>
      <c r="E10" s="179"/>
      <c r="F10" s="179"/>
      <c r="G10" s="239"/>
      <c r="H10" s="240"/>
    </row>
    <row r="11" spans="2:8" ht="15">
      <c r="B11" s="237"/>
      <c r="C11" s="179" t="s">
        <v>9</v>
      </c>
      <c r="D11" s="179"/>
      <c r="E11" s="179"/>
      <c r="F11" s="179"/>
      <c r="G11" s="239"/>
      <c r="H11" s="240"/>
    </row>
    <row r="12" spans="2:8" ht="15">
      <c r="B12" s="237"/>
      <c r="C12" s="179" t="s">
        <v>76</v>
      </c>
      <c r="D12" s="179"/>
      <c r="E12" s="179"/>
      <c r="F12" s="179"/>
      <c r="G12" s="239"/>
      <c r="H12" s="240"/>
    </row>
    <row r="13" spans="2:10" ht="15">
      <c r="B13" s="237"/>
      <c r="C13" s="179" t="s">
        <v>11</v>
      </c>
      <c r="D13" s="179"/>
      <c r="E13" s="179"/>
      <c r="F13" s="179"/>
      <c r="G13" s="239"/>
      <c r="H13" s="240"/>
      <c r="J13" s="243"/>
    </row>
    <row r="14" spans="2:8" ht="15">
      <c r="B14" s="237"/>
      <c r="C14" s="179" t="s">
        <v>14</v>
      </c>
      <c r="D14" s="511"/>
      <c r="E14" s="512"/>
      <c r="F14" s="512"/>
      <c r="G14" s="244">
        <v>40</v>
      </c>
      <c r="H14" s="240"/>
    </row>
    <row r="15" spans="2:8" ht="15">
      <c r="B15" s="237"/>
      <c r="C15" s="172" t="s">
        <v>15</v>
      </c>
      <c r="D15" s="511"/>
      <c r="E15" s="512"/>
      <c r="F15" s="512"/>
      <c r="G15" s="244">
        <v>15</v>
      </c>
      <c r="H15" s="240"/>
    </row>
    <row r="16" spans="2:8" ht="15">
      <c r="B16" s="237"/>
      <c r="C16" s="172" t="s">
        <v>205</v>
      </c>
      <c r="D16" s="514"/>
      <c r="E16" s="515"/>
      <c r="F16" s="516"/>
      <c r="G16" s="244"/>
      <c r="H16" s="240"/>
    </row>
    <row r="17" spans="2:8" ht="15">
      <c r="B17" s="237"/>
      <c r="C17" s="172" t="s">
        <v>206</v>
      </c>
      <c r="D17" s="514"/>
      <c r="E17" s="515"/>
      <c r="F17" s="516"/>
      <c r="G17" s="244"/>
      <c r="H17" s="240"/>
    </row>
    <row r="18" spans="2:8" ht="15">
      <c r="B18" s="237"/>
      <c r="C18" s="192"/>
      <c r="D18" s="245"/>
      <c r="E18" s="246"/>
      <c r="F18" s="246"/>
      <c r="G18" s="244"/>
      <c r="H18" s="240"/>
    </row>
    <row r="19" spans="2:8" ht="15">
      <c r="B19" s="237"/>
      <c r="C19" s="238"/>
      <c r="D19" s="238"/>
      <c r="E19" s="238"/>
      <c r="F19" s="238"/>
      <c r="G19" s="239"/>
      <c r="H19" s="240"/>
    </row>
    <row r="20" spans="2:8" ht="15">
      <c r="B20" s="237" t="s">
        <v>77</v>
      </c>
      <c r="C20" s="512" t="s">
        <v>78</v>
      </c>
      <c r="D20" s="512"/>
      <c r="E20" s="512"/>
      <c r="F20" s="512"/>
      <c r="G20" s="171" t="s">
        <v>17</v>
      </c>
      <c r="H20" s="241" t="s">
        <v>79</v>
      </c>
    </row>
    <row r="21" spans="2:8" ht="15">
      <c r="B21" s="237"/>
      <c r="C21" s="179" t="s">
        <v>7</v>
      </c>
      <c r="D21" s="179"/>
      <c r="E21" s="179"/>
      <c r="F21" s="179"/>
      <c r="G21" s="208"/>
      <c r="H21" s="241">
        <f>G21*$D$5</f>
        <v>0</v>
      </c>
    </row>
    <row r="22" spans="2:8" ht="15">
      <c r="B22" s="237"/>
      <c r="C22" s="179" t="s">
        <v>75</v>
      </c>
      <c r="D22" s="179"/>
      <c r="E22" s="179"/>
      <c r="F22" s="179"/>
      <c r="G22" s="239"/>
      <c r="H22" s="240"/>
    </row>
    <row r="23" spans="2:8" ht="15">
      <c r="B23" s="237"/>
      <c r="C23" s="179" t="s">
        <v>8</v>
      </c>
      <c r="D23" s="179"/>
      <c r="E23" s="179"/>
      <c r="F23" s="179"/>
      <c r="G23" s="239"/>
      <c r="H23" s="240"/>
    </row>
    <row r="24" spans="2:8" ht="15">
      <c r="B24" s="237"/>
      <c r="C24" s="179" t="s">
        <v>9</v>
      </c>
      <c r="D24" s="179"/>
      <c r="E24" s="179"/>
      <c r="F24" s="179"/>
      <c r="G24" s="239"/>
      <c r="H24" s="240"/>
    </row>
    <row r="25" spans="2:8" ht="15">
      <c r="B25" s="237"/>
      <c r="C25" s="179" t="s">
        <v>76</v>
      </c>
      <c r="D25" s="179"/>
      <c r="E25" s="179"/>
      <c r="F25" s="179"/>
      <c r="G25" s="239"/>
      <c r="H25" s="240"/>
    </row>
    <row r="26" spans="2:8" ht="15">
      <c r="B26" s="237"/>
      <c r="C26" s="179" t="s">
        <v>11</v>
      </c>
      <c r="D26" s="179"/>
      <c r="E26" s="179"/>
      <c r="F26" s="179"/>
      <c r="G26" s="239"/>
      <c r="H26" s="240"/>
    </row>
    <row r="27" spans="2:9" ht="15">
      <c r="B27" s="237"/>
      <c r="C27" s="179" t="s">
        <v>14</v>
      </c>
      <c r="D27" s="512"/>
      <c r="E27" s="512"/>
      <c r="F27" s="512"/>
      <c r="G27" s="244">
        <v>40</v>
      </c>
      <c r="H27" s="240"/>
      <c r="I27" s="243"/>
    </row>
    <row r="28" spans="2:8" ht="15">
      <c r="B28" s="237"/>
      <c r="C28" s="172" t="s">
        <v>15</v>
      </c>
      <c r="D28" s="512"/>
      <c r="E28" s="512"/>
      <c r="F28" s="512"/>
      <c r="G28" s="244">
        <v>40</v>
      </c>
      <c r="H28" s="240"/>
    </row>
    <row r="29" spans="2:8" ht="15">
      <c r="B29" s="237"/>
      <c r="C29" s="172" t="s">
        <v>205</v>
      </c>
      <c r="D29" s="517"/>
      <c r="E29" s="518"/>
      <c r="F29" s="519"/>
      <c r="G29" s="244"/>
      <c r="H29" s="240"/>
    </row>
    <row r="30" spans="2:8" ht="15">
      <c r="B30" s="237"/>
      <c r="C30" s="172" t="s">
        <v>206</v>
      </c>
      <c r="D30" s="517"/>
      <c r="E30" s="518"/>
      <c r="F30" s="519"/>
      <c r="G30" s="244"/>
      <c r="H30" s="240"/>
    </row>
    <row r="31" spans="2:8" ht="15">
      <c r="B31" s="237"/>
      <c r="C31" s="238"/>
      <c r="D31" s="246"/>
      <c r="E31" s="246"/>
      <c r="F31" s="246"/>
      <c r="G31" s="244"/>
      <c r="H31" s="240"/>
    </row>
    <row r="32" spans="2:8" ht="15">
      <c r="B32" s="237"/>
      <c r="C32" s="238"/>
      <c r="D32" s="238"/>
      <c r="E32" s="238"/>
      <c r="F32" s="238"/>
      <c r="G32" s="239"/>
      <c r="H32" s="240"/>
    </row>
    <row r="33" spans="2:8" ht="15">
      <c r="B33" s="237" t="s">
        <v>80</v>
      </c>
      <c r="C33" s="512" t="s">
        <v>78</v>
      </c>
      <c r="D33" s="512"/>
      <c r="E33" s="512"/>
      <c r="F33" s="512"/>
      <c r="G33" s="171" t="s">
        <v>17</v>
      </c>
      <c r="H33" s="241" t="s">
        <v>79</v>
      </c>
    </row>
    <row r="34" spans="2:8" ht="15">
      <c r="B34" s="237"/>
      <c r="C34" s="179" t="s">
        <v>7</v>
      </c>
      <c r="D34" s="179"/>
      <c r="E34" s="179"/>
      <c r="F34" s="179"/>
      <c r="G34" s="208"/>
      <c r="H34" s="241">
        <f>G34*$D$5</f>
        <v>0</v>
      </c>
    </row>
    <row r="35" spans="2:8" ht="15">
      <c r="B35" s="237"/>
      <c r="C35" s="179" t="s">
        <v>75</v>
      </c>
      <c r="D35" s="179"/>
      <c r="E35" s="179"/>
      <c r="F35" s="179"/>
      <c r="G35" s="239"/>
      <c r="H35" s="240"/>
    </row>
    <row r="36" spans="2:8" ht="15">
      <c r="B36" s="237"/>
      <c r="C36" s="179" t="s">
        <v>8</v>
      </c>
      <c r="D36" s="179"/>
      <c r="E36" s="179"/>
      <c r="F36" s="179"/>
      <c r="G36" s="239"/>
      <c r="H36" s="240"/>
    </row>
    <row r="37" spans="2:8" ht="15">
      <c r="B37" s="237"/>
      <c r="C37" s="179" t="s">
        <v>9</v>
      </c>
      <c r="D37" s="179"/>
      <c r="E37" s="179"/>
      <c r="F37" s="179"/>
      <c r="G37" s="239"/>
      <c r="H37" s="240"/>
    </row>
    <row r="38" spans="2:8" ht="15">
      <c r="B38" s="237"/>
      <c r="C38" s="179" t="s">
        <v>76</v>
      </c>
      <c r="D38" s="179"/>
      <c r="E38" s="179"/>
      <c r="F38" s="179"/>
      <c r="G38" s="239"/>
      <c r="H38" s="240"/>
    </row>
    <row r="39" spans="2:8" ht="15">
      <c r="B39" s="237"/>
      <c r="C39" s="179" t="s">
        <v>11</v>
      </c>
      <c r="D39" s="179"/>
      <c r="E39" s="179"/>
      <c r="F39" s="179"/>
      <c r="G39" s="239"/>
      <c r="H39" s="240"/>
    </row>
    <row r="40" spans="2:8" ht="15">
      <c r="B40" s="237"/>
      <c r="C40" s="179" t="s">
        <v>14</v>
      </c>
      <c r="D40" s="511"/>
      <c r="E40" s="512"/>
      <c r="F40" s="512"/>
      <c r="G40" s="244">
        <v>10</v>
      </c>
      <c r="H40" s="240"/>
    </row>
    <row r="41" spans="2:8" ht="15">
      <c r="B41" s="237"/>
      <c r="C41" s="172" t="s">
        <v>15</v>
      </c>
      <c r="D41" s="512"/>
      <c r="E41" s="512"/>
      <c r="F41" s="512"/>
      <c r="G41" s="244">
        <v>10</v>
      </c>
      <c r="H41" s="240"/>
    </row>
    <row r="42" spans="2:8" ht="15">
      <c r="B42" s="237"/>
      <c r="C42" s="172" t="s">
        <v>205</v>
      </c>
      <c r="D42" s="517"/>
      <c r="E42" s="518"/>
      <c r="F42" s="519"/>
      <c r="G42" s="244"/>
      <c r="H42" s="240"/>
    </row>
    <row r="43" spans="2:8" ht="15">
      <c r="B43" s="237"/>
      <c r="C43" s="172" t="s">
        <v>206</v>
      </c>
      <c r="D43" s="517"/>
      <c r="E43" s="518"/>
      <c r="F43" s="519"/>
      <c r="G43" s="244"/>
      <c r="H43" s="240"/>
    </row>
    <row r="44" spans="2:8" ht="15">
      <c r="B44" s="237"/>
      <c r="C44" s="238"/>
      <c r="D44" s="238"/>
      <c r="E44" s="238"/>
      <c r="F44" s="238"/>
      <c r="G44" s="239"/>
      <c r="H44" s="240"/>
    </row>
    <row r="45" spans="2:8" ht="15">
      <c r="B45" s="237" t="s">
        <v>81</v>
      </c>
      <c r="C45" s="512" t="s">
        <v>78</v>
      </c>
      <c r="D45" s="512"/>
      <c r="E45" s="512"/>
      <c r="F45" s="512"/>
      <c r="G45" s="171" t="s">
        <v>17</v>
      </c>
      <c r="H45" s="241" t="s">
        <v>79</v>
      </c>
    </row>
    <row r="46" spans="2:8" ht="15">
      <c r="B46" s="237"/>
      <c r="C46" s="179" t="s">
        <v>7</v>
      </c>
      <c r="D46" s="179"/>
      <c r="E46" s="179"/>
      <c r="F46" s="179"/>
      <c r="G46" s="208"/>
      <c r="H46" s="241">
        <f>G46*$D$5</f>
        <v>0</v>
      </c>
    </row>
    <row r="47" spans="2:8" ht="15">
      <c r="B47" s="237"/>
      <c r="C47" s="179" t="s">
        <v>75</v>
      </c>
      <c r="D47" s="179"/>
      <c r="E47" s="179"/>
      <c r="F47" s="179"/>
      <c r="G47" s="239"/>
      <c r="H47" s="240"/>
    </row>
    <row r="48" spans="2:8" ht="15">
      <c r="B48" s="237"/>
      <c r="C48" s="179" t="s">
        <v>8</v>
      </c>
      <c r="D48" s="179"/>
      <c r="E48" s="179"/>
      <c r="F48" s="179"/>
      <c r="G48" s="239"/>
      <c r="H48" s="240"/>
    </row>
    <row r="49" spans="2:8" ht="15">
      <c r="B49" s="237"/>
      <c r="C49" s="179" t="s">
        <v>9</v>
      </c>
      <c r="D49" s="179"/>
      <c r="E49" s="179"/>
      <c r="F49" s="179"/>
      <c r="G49" s="239"/>
      <c r="H49" s="240"/>
    </row>
    <row r="50" spans="2:8" ht="15">
      <c r="B50" s="237"/>
      <c r="C50" s="179" t="s">
        <v>76</v>
      </c>
      <c r="D50" s="179"/>
      <c r="E50" s="179"/>
      <c r="F50" s="179"/>
      <c r="G50" s="239"/>
      <c r="H50" s="240"/>
    </row>
    <row r="51" spans="2:8" ht="15">
      <c r="B51" s="237"/>
      <c r="C51" s="179" t="s">
        <v>11</v>
      </c>
      <c r="D51" s="179"/>
      <c r="E51" s="179"/>
      <c r="F51" s="179"/>
      <c r="G51" s="239"/>
      <c r="H51" s="240"/>
    </row>
    <row r="52" spans="2:8" ht="15">
      <c r="B52" s="237"/>
      <c r="C52" s="179" t="s">
        <v>14</v>
      </c>
      <c r="D52" s="511"/>
      <c r="E52" s="512"/>
      <c r="F52" s="512"/>
      <c r="G52" s="244">
        <v>8</v>
      </c>
      <c r="H52" s="240"/>
    </row>
    <row r="53" spans="2:8" ht="15">
      <c r="B53" s="237"/>
      <c r="C53" s="172" t="s">
        <v>15</v>
      </c>
      <c r="D53" s="512"/>
      <c r="E53" s="512"/>
      <c r="F53" s="512"/>
      <c r="G53" s="244"/>
      <c r="H53" s="240"/>
    </row>
    <row r="54" spans="2:8" ht="15">
      <c r="B54" s="237"/>
      <c r="C54" s="172" t="s">
        <v>205</v>
      </c>
      <c r="D54" s="517"/>
      <c r="E54" s="518"/>
      <c r="F54" s="519"/>
      <c r="G54" s="244"/>
      <c r="H54" s="240"/>
    </row>
    <row r="55" spans="2:8" ht="15.75" thickBot="1">
      <c r="B55" s="233"/>
      <c r="C55" s="172" t="s">
        <v>206</v>
      </c>
      <c r="D55" s="520"/>
      <c r="E55" s="521"/>
      <c r="F55" s="522"/>
      <c r="G55" s="247"/>
      <c r="H55" s="236"/>
    </row>
    <row r="56" ht="15.75" thickTop="1"/>
  </sheetData>
  <sheetProtection password="ABD7" sheet="1" objects="1" scenarios="1"/>
  <protectedRanges>
    <protectedRange sqref="D5 G8 G21 G34 G46" name="Rango1"/>
  </protectedRanges>
  <mergeCells count="23">
    <mergeCell ref="D54:F54"/>
    <mergeCell ref="D55:F55"/>
    <mergeCell ref="D40:F40"/>
    <mergeCell ref="D41:F41"/>
    <mergeCell ref="D52:F52"/>
    <mergeCell ref="D53:F53"/>
    <mergeCell ref="C33:F33"/>
    <mergeCell ref="C45:F45"/>
    <mergeCell ref="D28:F28"/>
    <mergeCell ref="D16:F16"/>
    <mergeCell ref="D17:F17"/>
    <mergeCell ref="D29:F29"/>
    <mergeCell ref="D30:F30"/>
    <mergeCell ref="D42:F42"/>
    <mergeCell ref="D43:F43"/>
    <mergeCell ref="B2:H2"/>
    <mergeCell ref="B3:H3"/>
    <mergeCell ref="D14:F14"/>
    <mergeCell ref="D15:F15"/>
    <mergeCell ref="D27:F27"/>
    <mergeCell ref="D4:E4"/>
    <mergeCell ref="C7:F7"/>
    <mergeCell ref="C20:F20"/>
  </mergeCells>
  <printOptions/>
  <pageMargins left="1.16" right="0.7086614173228347" top="0.64" bottom="0.31496062992125984" header="0.31496062992125984" footer="0.31496062992125984"/>
  <pageSetup fitToHeight="1" fitToWidth="1" horizontalDpi="600" verticalDpi="600" orientation="portrait" scale="76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1:N16"/>
  <sheetViews>
    <sheetView workbookViewId="0" topLeftCell="A1">
      <selection activeCell="D7" sqref="D7"/>
    </sheetView>
  </sheetViews>
  <sheetFormatPr defaultColWidth="11.421875" defaultRowHeight="15"/>
  <cols>
    <col min="1" max="1" width="11.421875" style="21" customWidth="1"/>
    <col min="2" max="4" width="11.421875" style="15" customWidth="1"/>
    <col min="5" max="7" width="11.421875" style="99" customWidth="1"/>
    <col min="8" max="10" width="11.421875" style="100" customWidth="1"/>
    <col min="11" max="11" width="21.140625" style="17" customWidth="1"/>
    <col min="12" max="12" width="11.421875" style="102" customWidth="1"/>
    <col min="13" max="13" width="11.421875" style="17" customWidth="1"/>
    <col min="14" max="68" width="11.421875" style="21" customWidth="1"/>
  </cols>
  <sheetData>
    <row r="1" spans="1:14" ht="15">
      <c r="A1" s="523" t="s">
        <v>225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</row>
    <row r="2" spans="1:14" ht="15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</row>
    <row r="3" spans="1:14" ht="15">
      <c r="A3" s="524"/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</row>
    <row r="4" spans="2:13" ht="15">
      <c r="B4" s="15" t="s">
        <v>14</v>
      </c>
      <c r="C4" s="15" t="s">
        <v>226</v>
      </c>
      <c r="D4" s="15">
        <v>2</v>
      </c>
      <c r="E4" s="99" t="s">
        <v>15</v>
      </c>
      <c r="F4" s="99" t="s">
        <v>227</v>
      </c>
      <c r="G4" s="99">
        <v>2</v>
      </c>
      <c r="H4" s="100" t="s">
        <v>205</v>
      </c>
      <c r="I4" s="100" t="s">
        <v>228</v>
      </c>
      <c r="J4" s="100">
        <v>6</v>
      </c>
      <c r="K4" s="17" t="s">
        <v>206</v>
      </c>
      <c r="L4" s="102" t="s">
        <v>229</v>
      </c>
      <c r="M4" s="17">
        <v>3</v>
      </c>
    </row>
    <row r="5" spans="2:13" ht="15">
      <c r="B5" s="15" t="s">
        <v>207</v>
      </c>
      <c r="C5" s="15">
        <v>40</v>
      </c>
      <c r="D5" s="15">
        <v>2</v>
      </c>
      <c r="E5" s="99" t="s">
        <v>208</v>
      </c>
      <c r="F5" s="99">
        <v>15</v>
      </c>
      <c r="G5" s="99">
        <v>2</v>
      </c>
      <c r="H5" s="100" t="s">
        <v>181</v>
      </c>
      <c r="I5" s="100">
        <v>0.0375</v>
      </c>
      <c r="J5" s="100">
        <v>6</v>
      </c>
      <c r="K5" s="17" t="s">
        <v>215</v>
      </c>
      <c r="M5" s="17">
        <v>13</v>
      </c>
    </row>
    <row r="6" spans="2:13" ht="15">
      <c r="B6" s="15" t="s">
        <v>85</v>
      </c>
      <c r="C6" s="15">
        <v>0</v>
      </c>
      <c r="D6" s="15">
        <v>2</v>
      </c>
      <c r="E6" s="99" t="s">
        <v>85</v>
      </c>
      <c r="F6" s="99">
        <v>0</v>
      </c>
      <c r="G6" s="99">
        <v>2</v>
      </c>
      <c r="H6" s="100" t="s">
        <v>210</v>
      </c>
      <c r="I6" s="100">
        <v>0.175</v>
      </c>
      <c r="J6" s="100">
        <v>6</v>
      </c>
      <c r="K6" s="17" t="s">
        <v>217</v>
      </c>
      <c r="M6" s="17">
        <v>13</v>
      </c>
    </row>
    <row r="7" spans="4:13" ht="15">
      <c r="D7" s="15">
        <v>2</v>
      </c>
      <c r="G7" s="99">
        <v>2</v>
      </c>
      <c r="H7" s="100" t="s">
        <v>212</v>
      </c>
      <c r="I7" s="100">
        <v>0.0375</v>
      </c>
      <c r="J7" s="100">
        <v>6</v>
      </c>
      <c r="K7" s="17" t="s">
        <v>216</v>
      </c>
      <c r="M7" s="17">
        <v>13</v>
      </c>
    </row>
    <row r="8" spans="4:13" ht="15">
      <c r="D8" s="15">
        <v>2</v>
      </c>
      <c r="G8" s="99">
        <v>2</v>
      </c>
      <c r="H8" s="100" t="s">
        <v>209</v>
      </c>
      <c r="I8" s="110">
        <v>0.05</v>
      </c>
      <c r="J8" s="100">
        <v>6</v>
      </c>
      <c r="K8" s="17" t="s">
        <v>214</v>
      </c>
      <c r="M8" s="17">
        <v>13</v>
      </c>
    </row>
    <row r="9" spans="2:11" ht="15">
      <c r="B9" s="15" t="s">
        <v>207</v>
      </c>
      <c r="C9" s="15">
        <v>40</v>
      </c>
      <c r="E9" s="99" t="s">
        <v>208</v>
      </c>
      <c r="F9" s="99">
        <v>15</v>
      </c>
      <c r="H9" s="100" t="s">
        <v>211</v>
      </c>
      <c r="I9" s="100">
        <v>0.225</v>
      </c>
      <c r="K9" s="17" t="s">
        <v>213</v>
      </c>
    </row>
    <row r="10" ht="15">
      <c r="K10" s="17" t="s">
        <v>218</v>
      </c>
    </row>
    <row r="11" spans="11:13" ht="15">
      <c r="K11" s="17" t="s">
        <v>221</v>
      </c>
      <c r="L11" s="103">
        <v>0.2</v>
      </c>
      <c r="M11" s="101"/>
    </row>
    <row r="12" spans="11:13" ht="15">
      <c r="K12" s="17" t="s">
        <v>223</v>
      </c>
      <c r="L12" s="103">
        <v>0.2</v>
      </c>
      <c r="M12" s="101"/>
    </row>
    <row r="13" spans="11:13" ht="15">
      <c r="K13" s="17" t="s">
        <v>222</v>
      </c>
      <c r="L13" s="103">
        <v>0.2</v>
      </c>
      <c r="M13" s="101"/>
    </row>
    <row r="14" spans="11:13" ht="15">
      <c r="K14" s="17" t="s">
        <v>220</v>
      </c>
      <c r="L14" s="103">
        <v>0.2</v>
      </c>
      <c r="M14" s="101"/>
    </row>
    <row r="15" spans="11:13" ht="15">
      <c r="K15" s="17" t="s">
        <v>219</v>
      </c>
      <c r="L15" s="103">
        <v>0.2</v>
      </c>
      <c r="M15" s="101"/>
    </row>
    <row r="16" spans="11:13" ht="15">
      <c r="K16" s="17" t="s">
        <v>224</v>
      </c>
      <c r="L16" s="103">
        <v>0.2</v>
      </c>
      <c r="M16" s="101"/>
    </row>
  </sheetData>
  <mergeCells count="1">
    <mergeCell ref="A1:N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B2:AP101"/>
  <sheetViews>
    <sheetView workbookViewId="0" topLeftCell="A1">
      <selection activeCell="I14" sqref="I14:J14"/>
    </sheetView>
  </sheetViews>
  <sheetFormatPr defaultColWidth="11.421875" defaultRowHeight="15"/>
  <cols>
    <col min="1" max="1" width="5.140625" style="324" customWidth="1"/>
    <col min="2" max="4" width="11.421875" style="324" customWidth="1"/>
    <col min="5" max="5" width="25.421875" style="324" customWidth="1"/>
    <col min="6" max="6" width="16.8515625" style="324" customWidth="1"/>
    <col min="7" max="7" width="11.421875" style="324" customWidth="1"/>
    <col min="8" max="8" width="11.8515625" style="324" bestFit="1" customWidth="1"/>
    <col min="9" max="9" width="11.421875" style="324" customWidth="1"/>
    <col min="10" max="27" width="11.421875" style="182" customWidth="1"/>
    <col min="28" max="33" width="11.421875" style="326" customWidth="1"/>
    <col min="34" max="34" width="27.8515625" style="326" customWidth="1"/>
    <col min="35" max="39" width="15.140625" style="326" customWidth="1"/>
    <col min="40" max="60" width="11.421875" style="326" customWidth="1"/>
    <col min="61" max="16384" width="11.421875" style="269" customWidth="1"/>
  </cols>
  <sheetData>
    <row r="1" ht="15"/>
    <row r="2" spans="2:8" ht="18">
      <c r="B2" s="530" t="s">
        <v>92</v>
      </c>
      <c r="C2" s="530"/>
      <c r="E2" s="535" t="s">
        <v>146</v>
      </c>
      <c r="F2" s="535"/>
      <c r="H2" s="325" t="s">
        <v>141</v>
      </c>
    </row>
    <row r="3" spans="2:40" ht="15.75">
      <c r="B3" s="531" t="s">
        <v>142</v>
      </c>
      <c r="C3" s="531"/>
      <c r="E3" s="538" t="s">
        <v>172</v>
      </c>
      <c r="F3" s="539"/>
      <c r="H3" s="327">
        <v>0.3</v>
      </c>
      <c r="I3" s="328">
        <f>100%+H3</f>
        <v>1.3</v>
      </c>
      <c r="AN3" s="329"/>
    </row>
    <row r="4" spans="2:6" ht="15">
      <c r="B4" s="330" t="s">
        <v>143</v>
      </c>
      <c r="C4" s="331">
        <v>240</v>
      </c>
      <c r="E4" s="330" t="s">
        <v>181</v>
      </c>
      <c r="F4" s="331">
        <v>10</v>
      </c>
    </row>
    <row r="5" spans="2:13" ht="15.75">
      <c r="B5" s="330" t="s">
        <v>144</v>
      </c>
      <c r="C5" s="331">
        <v>240</v>
      </c>
      <c r="E5" s="330" t="s">
        <v>319</v>
      </c>
      <c r="F5" s="331">
        <v>16</v>
      </c>
      <c r="H5" s="537" t="s">
        <v>147</v>
      </c>
      <c r="I5" s="537"/>
      <c r="J5" s="537"/>
      <c r="K5" s="537"/>
      <c r="L5" s="537"/>
      <c r="M5" s="332">
        <v>1</v>
      </c>
    </row>
    <row r="6" spans="2:13" ht="15.75">
      <c r="B6" s="531" t="s">
        <v>145</v>
      </c>
      <c r="C6" s="531"/>
      <c r="E6" s="330" t="s">
        <v>318</v>
      </c>
      <c r="F6" s="331">
        <v>8</v>
      </c>
      <c r="H6" s="333"/>
      <c r="I6" s="334"/>
      <c r="J6" s="334"/>
      <c r="K6" s="334"/>
      <c r="L6" s="334"/>
      <c r="M6" s="335"/>
    </row>
    <row r="7" spans="2:13" ht="15.75">
      <c r="B7" s="330" t="s">
        <v>143</v>
      </c>
      <c r="C7" s="331">
        <v>15</v>
      </c>
      <c r="E7" s="330" t="s">
        <v>179</v>
      </c>
      <c r="F7" s="331">
        <f>AM98</f>
        <v>276.6097222222222</v>
      </c>
      <c r="H7" s="333"/>
      <c r="I7" s="536" t="s">
        <v>159</v>
      </c>
      <c r="J7" s="536"/>
      <c r="K7" s="540" t="s">
        <v>197</v>
      </c>
      <c r="L7" s="540"/>
      <c r="M7" s="335"/>
    </row>
    <row r="8" spans="2:13" ht="15">
      <c r="B8" s="330" t="s">
        <v>144</v>
      </c>
      <c r="C8" s="331">
        <v>15</v>
      </c>
      <c r="E8" s="330" t="s">
        <v>317</v>
      </c>
      <c r="F8" s="331">
        <v>20</v>
      </c>
      <c r="H8" s="333"/>
      <c r="I8" s="336" t="s">
        <v>140</v>
      </c>
      <c r="J8" s="336" t="s">
        <v>78</v>
      </c>
      <c r="K8" s="336" t="s">
        <v>140</v>
      </c>
      <c r="L8" s="336" t="s">
        <v>78</v>
      </c>
      <c r="M8" s="335"/>
    </row>
    <row r="9" spans="5:13" ht="15">
      <c r="E9" s="330" t="s">
        <v>444</v>
      </c>
      <c r="F9" s="331">
        <v>4</v>
      </c>
      <c r="H9" s="333"/>
      <c r="I9" s="336">
        <v>0</v>
      </c>
      <c r="J9" s="336">
        <v>0</v>
      </c>
      <c r="K9" s="337"/>
      <c r="L9" s="337"/>
      <c r="M9" s="335"/>
    </row>
    <row r="10" spans="5:13" ht="15">
      <c r="E10" s="330" t="s">
        <v>445</v>
      </c>
      <c r="F10" s="331">
        <v>20</v>
      </c>
      <c r="H10" s="333"/>
      <c r="I10" s="338">
        <f>(C4/30)*I9</f>
        <v>0</v>
      </c>
      <c r="J10" s="338">
        <f>(C5/30)*J9</f>
        <v>0</v>
      </c>
      <c r="K10" s="339"/>
      <c r="L10" s="339"/>
      <c r="M10" s="335"/>
    </row>
    <row r="11" spans="5:13" ht="15">
      <c r="E11" s="330" t="s">
        <v>446</v>
      </c>
      <c r="F11" s="331">
        <v>10</v>
      </c>
      <c r="H11" s="333"/>
      <c r="I11" s="340"/>
      <c r="J11" s="340"/>
      <c r="L11" s="334"/>
      <c r="M11" s="335"/>
    </row>
    <row r="12" spans="5:13" ht="15.75">
      <c r="E12" s="330" t="s">
        <v>447</v>
      </c>
      <c r="F12" s="331">
        <v>1</v>
      </c>
      <c r="H12" s="333"/>
      <c r="I12" s="536" t="s">
        <v>158</v>
      </c>
      <c r="J12" s="536"/>
      <c r="L12" s="334"/>
      <c r="M12" s="335"/>
    </row>
    <row r="13" spans="5:13" ht="15">
      <c r="E13" s="330" t="s">
        <v>84</v>
      </c>
      <c r="F13" s="331">
        <v>200</v>
      </c>
      <c r="H13" s="333"/>
      <c r="I13" s="336" t="s">
        <v>140</v>
      </c>
      <c r="J13" s="336" t="s">
        <v>78</v>
      </c>
      <c r="L13" s="334"/>
      <c r="M13" s="335"/>
    </row>
    <row r="14" spans="5:13" ht="15">
      <c r="E14" s="330" t="s">
        <v>15</v>
      </c>
      <c r="F14" s="331">
        <v>60</v>
      </c>
      <c r="H14" s="333"/>
      <c r="I14" s="336">
        <v>2</v>
      </c>
      <c r="J14" s="336">
        <v>1</v>
      </c>
      <c r="L14" s="334"/>
      <c r="M14" s="335"/>
    </row>
    <row r="15" spans="5:13" ht="15">
      <c r="E15" s="330" t="s">
        <v>460</v>
      </c>
      <c r="F15" s="331">
        <v>24</v>
      </c>
      <c r="H15" s="333"/>
      <c r="I15" s="341">
        <f>I14*C7</f>
        <v>30</v>
      </c>
      <c r="J15" s="341">
        <f>J14*C8</f>
        <v>15</v>
      </c>
      <c r="L15" s="334"/>
      <c r="M15" s="335"/>
    </row>
    <row r="16" spans="5:13" ht="15">
      <c r="E16" s="330" t="s">
        <v>461</v>
      </c>
      <c r="F16" s="331">
        <v>10</v>
      </c>
      <c r="H16" s="342"/>
      <c r="I16" s="343"/>
      <c r="J16" s="343"/>
      <c r="K16" s="343"/>
      <c r="L16" s="343"/>
      <c r="M16" s="344"/>
    </row>
    <row r="17" spans="5:6" ht="15">
      <c r="E17" s="330"/>
      <c r="F17" s="331"/>
    </row>
    <row r="18" spans="5:6" ht="15">
      <c r="E18" s="330" t="s">
        <v>131</v>
      </c>
      <c r="F18" s="331">
        <f>SUM(F4:F16)</f>
        <v>659.6097222222222</v>
      </c>
    </row>
    <row r="19" spans="5:6" ht="15">
      <c r="E19" s="330" t="s">
        <v>176</v>
      </c>
      <c r="F19" s="345">
        <v>560</v>
      </c>
    </row>
    <row r="20" spans="5:6" ht="15.75">
      <c r="E20" s="346" t="s">
        <v>177</v>
      </c>
      <c r="F20" s="347">
        <f>F18/F19</f>
        <v>1.1778745039682539</v>
      </c>
    </row>
    <row r="34" spans="5:6" ht="15.75">
      <c r="E34" s="538" t="s">
        <v>173</v>
      </c>
      <c r="F34" s="539"/>
    </row>
    <row r="35" spans="5:6" ht="15">
      <c r="E35" s="528" t="s">
        <v>180</v>
      </c>
      <c r="F35" s="529"/>
    </row>
    <row r="36" spans="5:6" ht="15">
      <c r="E36" s="330" t="s">
        <v>181</v>
      </c>
      <c r="F36" s="348"/>
    </row>
    <row r="37" spans="3:6" ht="15">
      <c r="C37" s="349"/>
      <c r="E37" s="330" t="s">
        <v>319</v>
      </c>
      <c r="F37" s="331"/>
    </row>
    <row r="38" spans="3:6" ht="15">
      <c r="C38" s="349"/>
      <c r="E38" s="330" t="s">
        <v>318</v>
      </c>
      <c r="F38" s="331"/>
    </row>
    <row r="39" spans="3:6" ht="15">
      <c r="C39" s="350"/>
      <c r="E39" s="330" t="s">
        <v>179</v>
      </c>
      <c r="F39" s="331"/>
    </row>
    <row r="40" spans="5:6" ht="15">
      <c r="E40" s="330" t="s">
        <v>317</v>
      </c>
      <c r="F40" s="331"/>
    </row>
    <row r="41" spans="5:6" ht="15">
      <c r="E41" s="330" t="s">
        <v>444</v>
      </c>
      <c r="F41" s="331"/>
    </row>
    <row r="42" spans="5:6" ht="15">
      <c r="E42" s="330" t="s">
        <v>445</v>
      </c>
      <c r="F42" s="331"/>
    </row>
    <row r="43" spans="5:6" ht="15">
      <c r="E43" s="330" t="s">
        <v>446</v>
      </c>
      <c r="F43" s="331"/>
    </row>
    <row r="44" spans="5:6" ht="15">
      <c r="E44" s="330" t="s">
        <v>447</v>
      </c>
      <c r="F44" s="331"/>
    </row>
    <row r="45" spans="5:6" ht="15">
      <c r="E45" s="330" t="s">
        <v>84</v>
      </c>
      <c r="F45" s="331"/>
    </row>
    <row r="46" spans="5:6" ht="15">
      <c r="E46" s="330" t="s">
        <v>15</v>
      </c>
      <c r="F46" s="331"/>
    </row>
    <row r="47" spans="5:6" ht="15">
      <c r="E47" s="330" t="s">
        <v>460</v>
      </c>
      <c r="F47" s="331"/>
    </row>
    <row r="48" spans="5:6" ht="15">
      <c r="E48" s="330"/>
      <c r="F48" s="330"/>
    </row>
    <row r="49" spans="5:6" ht="15">
      <c r="E49" s="330" t="s">
        <v>131</v>
      </c>
      <c r="F49" s="331">
        <f>SUM(F35:F48)</f>
        <v>0</v>
      </c>
    </row>
    <row r="50" spans="3:6" ht="15">
      <c r="C50" s="351"/>
      <c r="D50" s="352"/>
      <c r="E50" s="330" t="s">
        <v>255</v>
      </c>
      <c r="F50" s="345">
        <v>725</v>
      </c>
    </row>
    <row r="51" spans="3:6" ht="15.75">
      <c r="C51" s="351"/>
      <c r="D51" s="352"/>
      <c r="E51" s="346" t="s">
        <v>178</v>
      </c>
      <c r="F51" s="353">
        <f>F49/F50</f>
        <v>0</v>
      </c>
    </row>
    <row r="52" spans="3:6" ht="15">
      <c r="C52" s="351"/>
      <c r="D52" s="352"/>
      <c r="E52" s="330"/>
      <c r="F52" s="330"/>
    </row>
    <row r="53" spans="3:6" ht="15">
      <c r="C53" s="351"/>
      <c r="D53" s="352"/>
      <c r="E53" s="528" t="s">
        <v>73</v>
      </c>
      <c r="F53" s="529"/>
    </row>
    <row r="54" spans="3:6" ht="15">
      <c r="C54" s="351"/>
      <c r="D54" s="352"/>
      <c r="E54" s="354" t="s">
        <v>174</v>
      </c>
      <c r="F54" s="331">
        <v>0</v>
      </c>
    </row>
    <row r="55" spans="3:6" ht="15">
      <c r="C55" s="351"/>
      <c r="D55" s="352"/>
      <c r="E55" s="330"/>
      <c r="F55" s="331"/>
    </row>
    <row r="56" spans="3:6" ht="15">
      <c r="C56" s="351"/>
      <c r="D56" s="352"/>
      <c r="E56" s="354"/>
      <c r="F56" s="331"/>
    </row>
    <row r="57" spans="3:6" ht="15">
      <c r="C57" s="351"/>
      <c r="D57" s="352"/>
      <c r="E57" s="354" t="s">
        <v>175</v>
      </c>
      <c r="F57" s="331"/>
    </row>
    <row r="58" spans="3:6" ht="15">
      <c r="C58" s="351"/>
      <c r="E58" s="330" t="s">
        <v>253</v>
      </c>
      <c r="F58" s="331">
        <v>0</v>
      </c>
    </row>
    <row r="59" spans="5:6" ht="15">
      <c r="E59" s="330" t="s">
        <v>254</v>
      </c>
      <c r="F59" s="331">
        <v>0</v>
      </c>
    </row>
    <row r="60" spans="5:6" ht="15">
      <c r="E60" s="330"/>
      <c r="F60" s="331"/>
    </row>
    <row r="61" spans="5:7" ht="15">
      <c r="E61" s="330" t="s">
        <v>84</v>
      </c>
      <c r="F61" s="331">
        <f>INDEX(ADICIONAL,'SERVICIOS ADICIONALES'!D4)</f>
        <v>0</v>
      </c>
      <c r="G61" s="355"/>
    </row>
    <row r="62" spans="5:6" ht="15">
      <c r="E62" s="330" t="s">
        <v>15</v>
      </c>
      <c r="F62" s="331">
        <f>INDEX(ADICIONAL2,'SERVICIOS ADICIONALES'!G4)</f>
        <v>0</v>
      </c>
    </row>
    <row r="63" spans="5:6" ht="15">
      <c r="E63" s="330" t="s">
        <v>205</v>
      </c>
      <c r="F63" s="331">
        <f>INDEX(ADICIONAL3,'SERVICIOS ADICIONALES'!J4)*ORDEN!D34</f>
        <v>0</v>
      </c>
    </row>
    <row r="64" spans="5:6" ht="15">
      <c r="E64" s="330" t="s">
        <v>230</v>
      </c>
      <c r="F64" s="331">
        <f>INDEX(ADICIONAL4,'SERVICIOS ADICIONALES'!M4)</f>
        <v>0</v>
      </c>
    </row>
    <row r="65" spans="5:6" ht="15">
      <c r="E65" s="356" t="s">
        <v>131</v>
      </c>
      <c r="F65" s="348">
        <f>SUM(F54:F64)</f>
        <v>0</v>
      </c>
    </row>
    <row r="77" ht="15">
      <c r="AP77" s="326" t="s">
        <v>462</v>
      </c>
    </row>
    <row r="85" spans="34:39" ht="20.25">
      <c r="AH85" s="541" t="s">
        <v>1</v>
      </c>
      <c r="AI85" s="541"/>
      <c r="AJ85" s="541"/>
      <c r="AK85" s="541"/>
      <c r="AL85" s="541"/>
      <c r="AM85" s="541"/>
    </row>
    <row r="86" spans="34:39" ht="15.75">
      <c r="AH86" s="532" t="s">
        <v>156</v>
      </c>
      <c r="AI86" s="533"/>
      <c r="AJ86" s="533"/>
      <c r="AK86" s="533"/>
      <c r="AL86" s="533"/>
      <c r="AM86" s="534"/>
    </row>
    <row r="87" spans="34:39" ht="15.75">
      <c r="AH87" s="357" t="s">
        <v>155</v>
      </c>
      <c r="AI87" s="357" t="s">
        <v>150</v>
      </c>
      <c r="AJ87" s="357" t="s">
        <v>151</v>
      </c>
      <c r="AK87" s="357" t="s">
        <v>154</v>
      </c>
      <c r="AL87" s="357" t="s">
        <v>152</v>
      </c>
      <c r="AM87" s="357" t="s">
        <v>153</v>
      </c>
    </row>
    <row r="88" spans="34:39" ht="15.75">
      <c r="AH88" s="346" t="s">
        <v>443</v>
      </c>
      <c r="AI88" s="346">
        <v>13526.5</v>
      </c>
      <c r="AJ88" s="346">
        <v>10</v>
      </c>
      <c r="AK88" s="346">
        <v>0</v>
      </c>
      <c r="AL88" s="358">
        <f>(AI88-AK88)/AJ88</f>
        <v>1352.65</v>
      </c>
      <c r="AM88" s="358">
        <f>AL88/12</f>
        <v>112.72083333333335</v>
      </c>
    </row>
    <row r="89" spans="34:39" ht="15.75">
      <c r="AH89" s="346" t="s">
        <v>459</v>
      </c>
      <c r="AI89" s="346">
        <v>1400</v>
      </c>
      <c r="AJ89" s="346">
        <v>3</v>
      </c>
      <c r="AK89" s="346">
        <v>0</v>
      </c>
      <c r="AL89" s="358">
        <f>(AI89-AK89)/AJ89</f>
        <v>466.6666666666667</v>
      </c>
      <c r="AM89" s="358">
        <f>AL89/12</f>
        <v>38.88888888888889</v>
      </c>
    </row>
    <row r="90" spans="34:39" ht="15.75">
      <c r="AH90" s="346" t="s">
        <v>149</v>
      </c>
      <c r="AI90" s="346">
        <v>230000</v>
      </c>
      <c r="AJ90" s="346">
        <v>20</v>
      </c>
      <c r="AK90" s="346">
        <v>200000</v>
      </c>
      <c r="AL90" s="358">
        <f>(AI90-AK90)/AJ90</f>
        <v>1500</v>
      </c>
      <c r="AM90" s="358">
        <f aca="true" t="shared" si="0" ref="AM90">AL90/12</f>
        <v>125</v>
      </c>
    </row>
    <row r="91" spans="34:39" ht="15.75">
      <c r="AH91" s="346"/>
      <c r="AI91" s="346"/>
      <c r="AJ91" s="346"/>
      <c r="AK91" s="346"/>
      <c r="AL91" s="358"/>
      <c r="AM91" s="358"/>
    </row>
    <row r="92" spans="34:39" ht="15.75">
      <c r="AH92" s="346"/>
      <c r="AI92" s="346"/>
      <c r="AJ92" s="346"/>
      <c r="AK92" s="346"/>
      <c r="AL92" s="358"/>
      <c r="AM92" s="358"/>
    </row>
    <row r="93" spans="34:39" ht="15.75">
      <c r="AH93" s="346"/>
      <c r="AI93" s="346"/>
      <c r="AJ93" s="346"/>
      <c r="AK93" s="346"/>
      <c r="AL93" s="358"/>
      <c r="AM93" s="358"/>
    </row>
    <row r="94" spans="34:39" ht="15.75">
      <c r="AH94" s="346"/>
      <c r="AI94" s="346"/>
      <c r="AJ94" s="346"/>
      <c r="AK94" s="346"/>
      <c r="AL94" s="346"/>
      <c r="AM94" s="358"/>
    </row>
    <row r="95" spans="34:39" ht="15.75">
      <c r="AH95" s="346"/>
      <c r="AI95" s="346"/>
      <c r="AJ95" s="346"/>
      <c r="AK95" s="346"/>
      <c r="AL95" s="346"/>
      <c r="AM95" s="358"/>
    </row>
    <row r="96" spans="34:39" ht="15.75">
      <c r="AH96" s="346"/>
      <c r="AI96" s="346"/>
      <c r="AJ96" s="346"/>
      <c r="AK96" s="346"/>
      <c r="AL96" s="346"/>
      <c r="AM96" s="358"/>
    </row>
    <row r="97" spans="34:39" ht="15.75">
      <c r="AH97" s="346"/>
      <c r="AI97" s="346"/>
      <c r="AJ97" s="346"/>
      <c r="AK97" s="346"/>
      <c r="AL97" s="346"/>
      <c r="AM97" s="358"/>
    </row>
    <row r="98" spans="34:39" ht="15.75">
      <c r="AH98" s="525" t="s">
        <v>131</v>
      </c>
      <c r="AI98" s="526"/>
      <c r="AJ98" s="526"/>
      <c r="AK98" s="526"/>
      <c r="AL98" s="527"/>
      <c r="AM98" s="359">
        <f>SUM(AM88:AM96)</f>
        <v>276.6097222222222</v>
      </c>
    </row>
    <row r="100" ht="15.75" thickBot="1"/>
    <row r="101" ht="16.5" thickBot="1" thickTop="1">
      <c r="AJ101" s="360" t="s">
        <v>157</v>
      </c>
    </row>
    <row r="102" ht="15.75" thickTop="1"/>
  </sheetData>
  <sheetProtection password="ABD7" sheet="1" objects="1" scenarios="1"/>
  <protectedRanges>
    <protectedRange sqref="C4:C5 C7:C8 E4:F6 E8:F17 F19 I9 J9 K9 L9 I14 J14" name="Rango1"/>
  </protectedRanges>
  <mergeCells count="15">
    <mergeCell ref="AH98:AL98"/>
    <mergeCell ref="E35:F35"/>
    <mergeCell ref="B2:C2"/>
    <mergeCell ref="B3:C3"/>
    <mergeCell ref="B6:C6"/>
    <mergeCell ref="AH86:AM86"/>
    <mergeCell ref="E2:F2"/>
    <mergeCell ref="I12:J12"/>
    <mergeCell ref="I7:J7"/>
    <mergeCell ref="H5:L5"/>
    <mergeCell ref="E34:F34"/>
    <mergeCell ref="E3:F3"/>
    <mergeCell ref="E53:F53"/>
    <mergeCell ref="K7:L7"/>
    <mergeCell ref="AH85:AM85"/>
  </mergeCells>
  <hyperlinks>
    <hyperlink ref="E2:F2" location="DATOS!AP77" display="COSTOS INDIRECTOS DE FACBRICACIÓN"/>
    <hyperlink ref="AJ101" location="DATOS!A1" display="VOLVER"/>
  </hyperlinks>
  <printOptions/>
  <pageMargins left="1.44" right="0.2362204724409449" top="1.5748031496062993" bottom="0.7480314960629921" header="0.31496062992125984" footer="0.31496062992125984"/>
  <pageSetup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Cristina</dc:creator>
  <cp:keywords/>
  <dc:description/>
  <cp:lastModifiedBy>Anita Cristina</cp:lastModifiedBy>
  <cp:lastPrinted>2010-04-29T15:27:31Z</cp:lastPrinted>
  <dcterms:created xsi:type="dcterms:W3CDTF">2010-03-12T15:55:25Z</dcterms:created>
  <dcterms:modified xsi:type="dcterms:W3CDTF">2010-06-10T22:04:54Z</dcterms:modified>
  <cp:category/>
  <cp:version/>
  <cp:contentType/>
  <cp:contentStatus/>
</cp:coreProperties>
</file>